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Windows\AppData\Local\Temp\VNPT Plugin\8e9f9468-d2a3-4b56-a3c5-6869708302c9\"/>
    </mc:Choice>
  </mc:AlternateContent>
  <xr:revisionPtr revIDLastSave="0" documentId="13_ncr:1_{90FF8E3F-C1E5-44E2-A111-B9A440BA8020}" xr6:coauthVersionLast="47" xr6:coauthVersionMax="47" xr10:uidLastSave="{00000000-0000-0000-0000-000000000000}"/>
  <bookViews>
    <workbookView xWindow="-120" yWindow="-120" windowWidth="29040" windowHeight="15840" activeTab="3" xr2:uid="{00000000-000D-0000-FFFF-FFFF00000000}"/>
  </bookViews>
  <sheets>
    <sheet name="VĐT" sheetId="1" r:id="rId1"/>
    <sheet name="Nhom DA hoan thanh den 31.12" sheetId="2" r:id="rId2"/>
    <sheet name="Nhom Da Chuyen tiep" sheetId="3" r:id="rId3"/>
    <sheet name="Nhom Da KCm" sheetId="4" r:id="rId4"/>
  </sheets>
  <externalReferences>
    <externalReference r:id="rId5"/>
    <externalReference r:id="rId6"/>
  </externalReferences>
  <definedNames>
    <definedName name="_xlnm.Print_Area" localSheetId="2">'Nhom Da Chuyen tiep'!$A$1:$AB$34</definedName>
    <definedName name="_xlnm.Print_Area" localSheetId="0">VĐT!$A$1:$U$161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4" l="1"/>
  <c r="O21" i="4"/>
  <c r="Q21" i="4"/>
  <c r="R21" i="4"/>
  <c r="S21" i="4"/>
  <c r="U21" i="4"/>
  <c r="V21" i="4"/>
  <c r="W21" i="4"/>
  <c r="N22" i="4"/>
  <c r="O22" i="4"/>
  <c r="P22" i="4"/>
  <c r="P21" i="4" s="1"/>
  <c r="Q22" i="4"/>
  <c r="R22" i="4"/>
  <c r="S22" i="4"/>
  <c r="T22" i="4"/>
  <c r="T21" i="4" s="1"/>
  <c r="U22" i="4"/>
  <c r="V22" i="4"/>
  <c r="W22" i="4"/>
  <c r="X22" i="4"/>
  <c r="X21" i="4" s="1"/>
  <c r="Q32" i="4"/>
  <c r="U32" i="4"/>
  <c r="N33" i="4"/>
  <c r="N32" i="4" s="1"/>
  <c r="O33" i="4"/>
  <c r="O32" i="4" s="1"/>
  <c r="P33" i="4"/>
  <c r="P32" i="4" s="1"/>
  <c r="P28" i="4" s="1"/>
  <c r="Q33" i="4"/>
  <c r="R33" i="4"/>
  <c r="R32" i="4" s="1"/>
  <c r="S33" i="4"/>
  <c r="S32" i="4" s="1"/>
  <c r="T33" i="4"/>
  <c r="T32" i="4" s="1"/>
  <c r="T28" i="4" s="1"/>
  <c r="U33" i="4"/>
  <c r="V33" i="4"/>
  <c r="V32" i="4" s="1"/>
  <c r="W33" i="4"/>
  <c r="W32" i="4" s="1"/>
  <c r="X33" i="4"/>
  <c r="X32" i="4" s="1"/>
  <c r="X28" i="4" s="1"/>
  <c r="N44" i="4"/>
  <c r="O44" i="4"/>
  <c r="P44" i="4"/>
  <c r="Q44" i="4"/>
  <c r="R44" i="4"/>
  <c r="S44" i="4"/>
  <c r="T44" i="4"/>
  <c r="U44" i="4"/>
  <c r="V44" i="4"/>
  <c r="W44" i="4"/>
  <c r="X44" i="4"/>
  <c r="N50" i="4"/>
  <c r="O50" i="4"/>
  <c r="P50" i="4"/>
  <c r="Q50" i="4"/>
  <c r="R50" i="4"/>
  <c r="S50" i="4"/>
  <c r="T50" i="4"/>
  <c r="U50" i="4"/>
  <c r="V50" i="4"/>
  <c r="W50" i="4"/>
  <c r="X50" i="4"/>
  <c r="N59" i="4"/>
  <c r="O59" i="4"/>
  <c r="Q59" i="4"/>
  <c r="R59" i="4"/>
  <c r="S59" i="4"/>
  <c r="U59" i="4"/>
  <c r="V59" i="4"/>
  <c r="W59" i="4"/>
  <c r="N60" i="4"/>
  <c r="O60" i="4"/>
  <c r="P60" i="4"/>
  <c r="P59" i="4" s="1"/>
  <c r="Q60" i="4"/>
  <c r="R60" i="4"/>
  <c r="S60" i="4"/>
  <c r="T60" i="4"/>
  <c r="T59" i="4" s="1"/>
  <c r="U60" i="4"/>
  <c r="V60" i="4"/>
  <c r="W60" i="4"/>
  <c r="X60" i="4"/>
  <c r="X59" i="4" s="1"/>
  <c r="N61" i="4"/>
  <c r="O61" i="4"/>
  <c r="P61" i="4"/>
  <c r="Q61" i="4"/>
  <c r="R61" i="4"/>
  <c r="S61" i="4"/>
  <c r="T61" i="4"/>
  <c r="U61" i="4"/>
  <c r="V61" i="4"/>
  <c r="W61" i="4"/>
  <c r="X61" i="4"/>
  <c r="Q62" i="4"/>
  <c r="P62" i="4"/>
  <c r="Q49" i="4"/>
  <c r="P49" i="4"/>
  <c r="Q48" i="4"/>
  <c r="P48" i="4"/>
  <c r="Q47" i="4"/>
  <c r="P47" i="4"/>
  <c r="Q46" i="4"/>
  <c r="P46" i="4"/>
  <c r="Q45" i="4"/>
  <c r="P45" i="4"/>
  <c r="Q43" i="4"/>
  <c r="P43" i="4"/>
  <c r="Q42" i="4"/>
  <c r="P42" i="4"/>
  <c r="P35" i="4"/>
  <c r="Q35" i="4"/>
  <c r="P36" i="4"/>
  <c r="Q36" i="4"/>
  <c r="P37" i="4"/>
  <c r="Q37" i="4"/>
  <c r="P38" i="4"/>
  <c r="Q38" i="4"/>
  <c r="P39" i="4"/>
  <c r="Q39" i="4"/>
  <c r="P40" i="4"/>
  <c r="Q40" i="4"/>
  <c r="Q34" i="4"/>
  <c r="P34" i="4"/>
  <c r="N29" i="4"/>
  <c r="O29" i="4"/>
  <c r="P29" i="4"/>
  <c r="Q29" i="4"/>
  <c r="P31" i="4"/>
  <c r="Q31" i="4"/>
  <c r="Q30" i="4"/>
  <c r="P30" i="4"/>
  <c r="N23" i="4"/>
  <c r="O23" i="4"/>
  <c r="P23" i="4"/>
  <c r="Q23" i="4"/>
  <c r="R23" i="4"/>
  <c r="S23" i="4"/>
  <c r="T23" i="4"/>
  <c r="U23" i="4"/>
  <c r="V23" i="4"/>
  <c r="W23" i="4"/>
  <c r="X23" i="4"/>
  <c r="N18" i="4"/>
  <c r="O18" i="4"/>
  <c r="P18" i="4"/>
  <c r="Q18" i="4"/>
  <c r="R18" i="4"/>
  <c r="S18" i="4"/>
  <c r="T18" i="4"/>
  <c r="U18" i="4"/>
  <c r="V18" i="4"/>
  <c r="W18" i="4"/>
  <c r="X18" i="4"/>
  <c r="N12" i="4"/>
  <c r="O12" i="4"/>
  <c r="P12" i="4"/>
  <c r="Q12" i="4"/>
  <c r="R12" i="4"/>
  <c r="S12" i="4"/>
  <c r="T12" i="4"/>
  <c r="U12" i="4"/>
  <c r="V12" i="4"/>
  <c r="W12" i="4"/>
  <c r="X12" i="4"/>
  <c r="N15" i="4"/>
  <c r="O15" i="4"/>
  <c r="P15" i="4"/>
  <c r="Q15" i="4"/>
  <c r="R15" i="4"/>
  <c r="S15" i="4"/>
  <c r="T15" i="4"/>
  <c r="U15" i="4"/>
  <c r="V15" i="4"/>
  <c r="W15" i="4"/>
  <c r="X15" i="4"/>
  <c r="P26" i="4"/>
  <c r="Q26" i="4"/>
  <c r="P27" i="4"/>
  <c r="Q27" i="4"/>
  <c r="O25" i="4"/>
  <c r="P25" i="4"/>
  <c r="Q25" i="4"/>
  <c r="R19" i="4"/>
  <c r="R20" i="4"/>
  <c r="R24" i="4"/>
  <c r="R25" i="4"/>
  <c r="R26" i="4"/>
  <c r="R27" i="4"/>
  <c r="R29" i="4"/>
  <c r="R30" i="4"/>
  <c r="R31" i="4"/>
  <c r="R34" i="4"/>
  <c r="R35" i="4"/>
  <c r="R36" i="4"/>
  <c r="R37" i="4"/>
  <c r="R38" i="4"/>
  <c r="R39" i="4"/>
  <c r="R40" i="4"/>
  <c r="R41" i="4"/>
  <c r="R42" i="4"/>
  <c r="R43" i="4"/>
  <c r="R45" i="4"/>
  <c r="R46" i="4"/>
  <c r="R47" i="4"/>
  <c r="R48" i="4"/>
  <c r="R49" i="4"/>
  <c r="R51" i="4"/>
  <c r="R52" i="4"/>
  <c r="R53" i="4"/>
  <c r="R54" i="4"/>
  <c r="R55" i="4"/>
  <c r="R56" i="4"/>
  <c r="R57" i="4"/>
  <c r="R58" i="4"/>
  <c r="R62" i="4"/>
  <c r="R17" i="4"/>
  <c r="Q24" i="4"/>
  <c r="P24" i="4"/>
  <c r="O24" i="4"/>
  <c r="W28" i="4" l="1"/>
  <c r="S28" i="4"/>
  <c r="O28" i="4"/>
  <c r="V28" i="4"/>
  <c r="R28" i="4"/>
  <c r="U28" i="4"/>
  <c r="Q28" i="4"/>
  <c r="S10" i="4" l="1"/>
  <c r="R10" i="4"/>
  <c r="G57" i="4"/>
  <c r="G56" i="4" s="1"/>
  <c r="G55" i="4" s="1"/>
  <c r="G54" i="4" s="1"/>
  <c r="H57" i="4"/>
  <c r="H56" i="4" s="1"/>
  <c r="H55" i="4" s="1"/>
  <c r="H54" i="4" s="1"/>
  <c r="I57" i="4"/>
  <c r="I56" i="4" s="1"/>
  <c r="I55" i="4" s="1"/>
  <c r="I54" i="4" s="1"/>
  <c r="J57" i="4"/>
  <c r="J56" i="4" s="1"/>
  <c r="J55" i="4" s="1"/>
  <c r="J54" i="4" s="1"/>
  <c r="L57" i="4"/>
  <c r="L56" i="4" s="1"/>
  <c r="L55" i="4" s="1"/>
  <c r="L54" i="4" s="1"/>
  <c r="M57" i="4"/>
  <c r="M56" i="4" s="1"/>
  <c r="M55" i="4" s="1"/>
  <c r="M54" i="4" s="1"/>
  <c r="T57" i="4"/>
  <c r="T56" i="4" s="1"/>
  <c r="T55" i="4" s="1"/>
  <c r="T54" i="4" s="1"/>
  <c r="U57" i="4"/>
  <c r="U56" i="4" s="1"/>
  <c r="U55" i="4" s="1"/>
  <c r="U54" i="4" s="1"/>
  <c r="V57" i="4"/>
  <c r="V56" i="4" s="1"/>
  <c r="V55" i="4" s="1"/>
  <c r="V54" i="4" s="1"/>
  <c r="K58" i="4"/>
  <c r="W58" i="4" s="1"/>
  <c r="W57" i="4" s="1"/>
  <c r="W56" i="4" s="1"/>
  <c r="W55" i="4" s="1"/>
  <c r="W54" i="4" s="1"/>
  <c r="P85" i="2"/>
  <c r="Q85" i="2"/>
  <c r="R85" i="2"/>
  <c r="S85" i="2"/>
  <c r="P81" i="2"/>
  <c r="Q81" i="2"/>
  <c r="R81" i="2"/>
  <c r="S81" i="2"/>
  <c r="T80" i="2"/>
  <c r="P75" i="2"/>
  <c r="Q75" i="2"/>
  <c r="Q74" i="2" s="1"/>
  <c r="R75" i="2"/>
  <c r="R74" i="2" s="1"/>
  <c r="S75" i="2"/>
  <c r="P70" i="2"/>
  <c r="Q70" i="2"/>
  <c r="R70" i="2"/>
  <c r="S70" i="2"/>
  <c r="P66" i="2"/>
  <c r="Q66" i="2"/>
  <c r="R66" i="2"/>
  <c r="S66" i="2"/>
  <c r="Q63" i="2"/>
  <c r="R63" i="2"/>
  <c r="S63" i="2"/>
  <c r="Q62" i="2"/>
  <c r="R62" i="2"/>
  <c r="S62" i="2"/>
  <c r="Q58" i="2"/>
  <c r="Q57" i="2" s="1"/>
  <c r="P59" i="2"/>
  <c r="Q59" i="2"/>
  <c r="R59" i="2"/>
  <c r="S59" i="2"/>
  <c r="T60" i="2"/>
  <c r="K87" i="2"/>
  <c r="O87" i="2" s="1"/>
  <c r="N87" i="2" s="1"/>
  <c r="K86" i="2"/>
  <c r="K85" i="2" s="1"/>
  <c r="M85" i="2"/>
  <c r="L85" i="2"/>
  <c r="J85" i="2"/>
  <c r="I85" i="2"/>
  <c r="H85" i="2"/>
  <c r="G85" i="2"/>
  <c r="B85" i="2"/>
  <c r="K84" i="2"/>
  <c r="O84" i="2" s="1"/>
  <c r="N84" i="2" s="1"/>
  <c r="K83" i="2"/>
  <c r="T83" i="2" s="1"/>
  <c r="K82" i="2"/>
  <c r="O82" i="2" s="1"/>
  <c r="N82" i="2" s="1"/>
  <c r="M81" i="2"/>
  <c r="L81" i="2"/>
  <c r="J81" i="2"/>
  <c r="I81" i="2"/>
  <c r="H81" i="2"/>
  <c r="G81" i="2"/>
  <c r="G74" i="2" s="1"/>
  <c r="K80" i="2"/>
  <c r="O80" i="2" s="1"/>
  <c r="N80" i="2" s="1"/>
  <c r="K79" i="2"/>
  <c r="O79" i="2" s="1"/>
  <c r="N79" i="2" s="1"/>
  <c r="K78" i="2"/>
  <c r="O78" i="2" s="1"/>
  <c r="N78" i="2" s="1"/>
  <c r="K77" i="2"/>
  <c r="O77" i="2" s="1"/>
  <c r="N77" i="2" s="1"/>
  <c r="K76" i="2"/>
  <c r="T76" i="2" s="1"/>
  <c r="M75" i="2"/>
  <c r="M74" i="2" s="1"/>
  <c r="L75" i="2"/>
  <c r="L74" i="2" s="1"/>
  <c r="J75" i="2"/>
  <c r="I75" i="2"/>
  <c r="H75" i="2"/>
  <c r="G75" i="2"/>
  <c r="B74" i="2"/>
  <c r="K73" i="2"/>
  <c r="O73" i="2" s="1"/>
  <c r="N73" i="2" s="1"/>
  <c r="K72" i="2"/>
  <c r="T72" i="2" s="1"/>
  <c r="K71" i="2"/>
  <c r="O71" i="2" s="1"/>
  <c r="M70" i="2"/>
  <c r="L70" i="2"/>
  <c r="J70" i="2"/>
  <c r="I70" i="2"/>
  <c r="H70" i="2"/>
  <c r="G70" i="2"/>
  <c r="K68" i="2"/>
  <c r="T68" i="2" s="1"/>
  <c r="K67" i="2"/>
  <c r="O67" i="2" s="1"/>
  <c r="M66" i="2"/>
  <c r="L66" i="2"/>
  <c r="J66" i="2"/>
  <c r="I66" i="2"/>
  <c r="H66" i="2"/>
  <c r="G66" i="2"/>
  <c r="F66" i="2"/>
  <c r="B66" i="2"/>
  <c r="K65" i="2"/>
  <c r="O65" i="2" s="1"/>
  <c r="N65" i="2" s="1"/>
  <c r="K64" i="2"/>
  <c r="O64" i="2" s="1"/>
  <c r="N64" i="2" s="1"/>
  <c r="P63" i="2"/>
  <c r="P62" i="2" s="1"/>
  <c r="M63" i="2"/>
  <c r="M62" i="2" s="1"/>
  <c r="L63" i="2"/>
  <c r="L62" i="2" s="1"/>
  <c r="J63" i="2"/>
  <c r="J62" i="2" s="1"/>
  <c r="I63" i="2"/>
  <c r="I62" i="2" s="1"/>
  <c r="H63" i="2"/>
  <c r="H62" i="2" s="1"/>
  <c r="G63" i="2"/>
  <c r="G62" i="2" s="1"/>
  <c r="F63" i="2"/>
  <c r="F62" i="2" s="1"/>
  <c r="B62" i="2"/>
  <c r="K61" i="2"/>
  <c r="O61" i="2" s="1"/>
  <c r="N61" i="2" s="1"/>
  <c r="K60" i="2"/>
  <c r="O60" i="2" s="1"/>
  <c r="M59" i="2"/>
  <c r="L59" i="2"/>
  <c r="J59" i="2"/>
  <c r="I59" i="2"/>
  <c r="H59" i="2"/>
  <c r="G59" i="2"/>
  <c r="F59" i="2"/>
  <c r="A2" i="2"/>
  <c r="A2" i="3" s="1"/>
  <c r="A2" i="4" s="1"/>
  <c r="S58" i="4" l="1"/>
  <c r="X58" i="4"/>
  <c r="X57" i="4" s="1"/>
  <c r="X56" i="4" s="1"/>
  <c r="X55" i="4" s="1"/>
  <c r="X54" i="4" s="1"/>
  <c r="K57" i="4"/>
  <c r="O76" i="2"/>
  <c r="N76" i="2" s="1"/>
  <c r="O68" i="2"/>
  <c r="N68" i="2" s="1"/>
  <c r="H74" i="2"/>
  <c r="H69" i="2" s="1"/>
  <c r="H58" i="2"/>
  <c r="H57" i="2" s="1"/>
  <c r="T64" i="2"/>
  <c r="I58" i="2"/>
  <c r="I57" i="2" s="1"/>
  <c r="G69" i="2"/>
  <c r="L69" i="2"/>
  <c r="O72" i="2"/>
  <c r="N72" i="2" s="1"/>
  <c r="I74" i="2"/>
  <c r="I69" i="2" s="1"/>
  <c r="O83" i="2"/>
  <c r="N83" i="2" s="1"/>
  <c r="N81" i="2" s="1"/>
  <c r="T61" i="2"/>
  <c r="T59" i="2" s="1"/>
  <c r="T65" i="2"/>
  <c r="T71" i="2"/>
  <c r="T77" i="2"/>
  <c r="T75" i="2" s="1"/>
  <c r="T82" i="2"/>
  <c r="S74" i="2"/>
  <c r="T86" i="2"/>
  <c r="J74" i="2"/>
  <c r="J69" i="2" s="1"/>
  <c r="P58" i="2"/>
  <c r="P57" i="2" s="1"/>
  <c r="T67" i="2"/>
  <c r="T66" i="2" s="1"/>
  <c r="T78" i="2"/>
  <c r="T87" i="2"/>
  <c r="L58" i="2"/>
  <c r="L57" i="2" s="1"/>
  <c r="T73" i="2"/>
  <c r="P74" i="2"/>
  <c r="P69" i="2" s="1"/>
  <c r="P56" i="2" s="1"/>
  <c r="T79" i="2"/>
  <c r="T84" i="2"/>
  <c r="S69" i="2"/>
  <c r="Q69" i="2"/>
  <c r="Q56" i="2" s="1"/>
  <c r="R69" i="2"/>
  <c r="R58" i="2"/>
  <c r="R57" i="2" s="1"/>
  <c r="S58" i="2"/>
  <c r="S57" i="2" s="1"/>
  <c r="O59" i="2"/>
  <c r="N60" i="2"/>
  <c r="O66" i="2"/>
  <c r="N67" i="2"/>
  <c r="N66" i="2" s="1"/>
  <c r="N71" i="2"/>
  <c r="L56" i="2"/>
  <c r="N75" i="2"/>
  <c r="G58" i="2"/>
  <c r="G57" i="2" s="1"/>
  <c r="K63" i="2"/>
  <c r="K62" i="2" s="1"/>
  <c r="K66" i="2"/>
  <c r="K81" i="2"/>
  <c r="K59" i="2"/>
  <c r="H56" i="2"/>
  <c r="O86" i="2"/>
  <c r="N86" i="2" s="1"/>
  <c r="N85" i="2" s="1"/>
  <c r="M58" i="2"/>
  <c r="M57" i="2" s="1"/>
  <c r="N63" i="2"/>
  <c r="N62" i="2" s="1"/>
  <c r="F58" i="2"/>
  <c r="F57" i="2" s="1"/>
  <c r="F56" i="2" s="1"/>
  <c r="J58" i="2"/>
  <c r="J57" i="2" s="1"/>
  <c r="N59" i="2"/>
  <c r="M69" i="2"/>
  <c r="O85" i="2"/>
  <c r="O63" i="2"/>
  <c r="O62" i="2" s="1"/>
  <c r="O58" i="2" s="1"/>
  <c r="O57" i="2" s="1"/>
  <c r="K70" i="2"/>
  <c r="K75" i="2"/>
  <c r="O75" i="2"/>
  <c r="K56" i="4" l="1"/>
  <c r="S57" i="4"/>
  <c r="I56" i="2"/>
  <c r="K58" i="2"/>
  <c r="K57" i="2" s="1"/>
  <c r="N70" i="2"/>
  <c r="O70" i="2"/>
  <c r="S56" i="2"/>
  <c r="O81" i="2"/>
  <c r="O74" i="2" s="1"/>
  <c r="O69" i="2" s="1"/>
  <c r="O56" i="2" s="1"/>
  <c r="J56" i="2"/>
  <c r="T85" i="2"/>
  <c r="T70" i="2"/>
  <c r="T63" i="2"/>
  <c r="T62" i="2" s="1"/>
  <c r="T58" i="2" s="1"/>
  <c r="T57" i="2" s="1"/>
  <c r="M56" i="2"/>
  <c r="G56" i="2"/>
  <c r="T81" i="2"/>
  <c r="T74" i="2" s="1"/>
  <c r="R56" i="2"/>
  <c r="N74" i="2"/>
  <c r="N69" i="2" s="1"/>
  <c r="K74" i="2"/>
  <c r="K69" i="2"/>
  <c r="K56" i="2" s="1"/>
  <c r="N58" i="2"/>
  <c r="N57" i="2" s="1"/>
  <c r="K55" i="4" l="1"/>
  <c r="S56" i="4"/>
  <c r="N58" i="4"/>
  <c r="N57" i="4" s="1"/>
  <c r="N56" i="4" s="1"/>
  <c r="N55" i="4" s="1"/>
  <c r="N54" i="4" s="1"/>
  <c r="T69" i="2"/>
  <c r="T56" i="2" s="1"/>
  <c r="N56" i="2"/>
  <c r="K54" i="4" l="1"/>
  <c r="S55" i="4"/>
  <c r="V13" i="1"/>
  <c r="S54" i="4" l="1"/>
  <c r="F118" i="1"/>
  <c r="G118" i="1"/>
  <c r="H118" i="1"/>
  <c r="I118" i="1"/>
  <c r="J118" i="1"/>
  <c r="M118" i="1"/>
  <c r="P118" i="1"/>
  <c r="Q118" i="1"/>
  <c r="R118" i="1"/>
  <c r="S118" i="1"/>
  <c r="F115" i="1"/>
  <c r="F114" i="1" s="1"/>
  <c r="G115" i="1"/>
  <c r="G114" i="1" s="1"/>
  <c r="G109" i="1" s="1"/>
  <c r="G108" i="1" s="1"/>
  <c r="H115" i="1"/>
  <c r="H114" i="1" s="1"/>
  <c r="I115" i="1"/>
  <c r="I114" i="1" s="1"/>
  <c r="J115" i="1"/>
  <c r="J114" i="1" s="1"/>
  <c r="L115" i="1"/>
  <c r="L114" i="1" s="1"/>
  <c r="M115" i="1"/>
  <c r="M114" i="1" s="1"/>
  <c r="P115" i="1"/>
  <c r="P114" i="1" s="1"/>
  <c r="Q115" i="1"/>
  <c r="Q114" i="1" s="1"/>
  <c r="R115" i="1"/>
  <c r="R114" i="1" s="1"/>
  <c r="S115" i="1"/>
  <c r="S114" i="1" s="1"/>
  <c r="F110" i="1"/>
  <c r="G110" i="1"/>
  <c r="H110" i="1"/>
  <c r="I110" i="1"/>
  <c r="J110" i="1"/>
  <c r="M110" i="1"/>
  <c r="P110" i="1"/>
  <c r="Q110" i="1"/>
  <c r="K113" i="1"/>
  <c r="O113" i="1" s="1"/>
  <c r="N113" i="1" s="1"/>
  <c r="K112" i="1"/>
  <c r="O112" i="1" s="1"/>
  <c r="N112" i="1" s="1"/>
  <c r="K111" i="1"/>
  <c r="K117" i="1"/>
  <c r="O117" i="1" s="1"/>
  <c r="N117" i="1" s="1"/>
  <c r="K116" i="1"/>
  <c r="O116" i="1" s="1"/>
  <c r="N116" i="1" s="1"/>
  <c r="N115" i="1" s="1"/>
  <c r="N114" i="1" s="1"/>
  <c r="K120" i="1"/>
  <c r="O120" i="1" s="1"/>
  <c r="N120" i="1" s="1"/>
  <c r="K119" i="1"/>
  <c r="O119" i="1" s="1"/>
  <c r="N119" i="1" s="1"/>
  <c r="N118" i="1" s="1"/>
  <c r="Q109" i="1" l="1"/>
  <c r="Q108" i="1" s="1"/>
  <c r="K110" i="1"/>
  <c r="R111" i="1"/>
  <c r="O115" i="1"/>
  <c r="O114" i="1" s="1"/>
  <c r="M109" i="1"/>
  <c r="M108" i="1" s="1"/>
  <c r="K115" i="1"/>
  <c r="K114" i="1" s="1"/>
  <c r="K118" i="1"/>
  <c r="K109" i="1" s="1"/>
  <c r="K108" i="1" s="1"/>
  <c r="O118" i="1"/>
  <c r="O110" i="1"/>
  <c r="P109" i="1"/>
  <c r="P108" i="1" s="1"/>
  <c r="J109" i="1"/>
  <c r="J108" i="1" s="1"/>
  <c r="F109" i="1"/>
  <c r="F108" i="1" s="1"/>
  <c r="F107" i="1" s="1"/>
  <c r="H109" i="1"/>
  <c r="H108" i="1" s="1"/>
  <c r="I109" i="1"/>
  <c r="I108" i="1" s="1"/>
  <c r="O109" i="1" l="1"/>
  <c r="O108" i="1" s="1"/>
  <c r="S111" i="1"/>
  <c r="S110" i="1" s="1"/>
  <c r="S109" i="1" s="1"/>
  <c r="S108" i="1" s="1"/>
  <c r="N111" i="1"/>
  <c r="N110" i="1" s="1"/>
  <c r="N109" i="1" s="1"/>
  <c r="N108" i="1" s="1"/>
  <c r="R110" i="1"/>
  <c r="R109" i="1" s="1"/>
  <c r="R108" i="1" s="1"/>
  <c r="L118" i="1"/>
  <c r="L110" i="1"/>
  <c r="B118" i="1"/>
  <c r="B114" i="1"/>
  <c r="H127" i="1"/>
  <c r="I127" i="1"/>
  <c r="J127" i="1"/>
  <c r="L127" i="1"/>
  <c r="M127" i="1"/>
  <c r="P127" i="1"/>
  <c r="Q127" i="1"/>
  <c r="R127" i="1"/>
  <c r="S127" i="1"/>
  <c r="G127" i="1"/>
  <c r="H133" i="1"/>
  <c r="I133" i="1"/>
  <c r="J133" i="1"/>
  <c r="L133" i="1"/>
  <c r="M133" i="1"/>
  <c r="P133" i="1"/>
  <c r="Q133" i="1"/>
  <c r="R133" i="1"/>
  <c r="S133" i="1"/>
  <c r="G133" i="1"/>
  <c r="H137" i="1"/>
  <c r="I137" i="1"/>
  <c r="J137" i="1"/>
  <c r="L137" i="1"/>
  <c r="M137" i="1"/>
  <c r="P137" i="1"/>
  <c r="Q137" i="1"/>
  <c r="R137" i="1"/>
  <c r="S137" i="1"/>
  <c r="G137" i="1"/>
  <c r="K138" i="1"/>
  <c r="L122" i="1"/>
  <c r="M122" i="1"/>
  <c r="P122" i="1"/>
  <c r="Q122" i="1"/>
  <c r="R122" i="1"/>
  <c r="S122" i="1"/>
  <c r="G122" i="1"/>
  <c r="H122" i="1"/>
  <c r="I122" i="1"/>
  <c r="J122" i="1"/>
  <c r="L109" i="1" l="1"/>
  <c r="L108" i="1" s="1"/>
  <c r="K62" i="4"/>
  <c r="M61" i="4"/>
  <c r="M60" i="4" s="1"/>
  <c r="M59" i="4" s="1"/>
  <c r="J61" i="4"/>
  <c r="I61" i="4"/>
  <c r="I60" i="4" s="1"/>
  <c r="I59" i="4" s="1"/>
  <c r="G61" i="4"/>
  <c r="G60" i="4" s="1"/>
  <c r="G59" i="4" s="1"/>
  <c r="L60" i="4"/>
  <c r="L59" i="4" s="1"/>
  <c r="J60" i="4"/>
  <c r="J59" i="4" s="1"/>
  <c r="H60" i="4"/>
  <c r="H59" i="4" s="1"/>
  <c r="K107" i="2"/>
  <c r="T107" i="2" s="1"/>
  <c r="K106" i="2"/>
  <c r="P106" i="2" s="1"/>
  <c r="K105" i="2"/>
  <c r="P105" i="2" s="1"/>
  <c r="K104" i="2"/>
  <c r="S104" i="2" s="1"/>
  <c r="K103" i="2"/>
  <c r="R103" i="2" s="1"/>
  <c r="M102" i="2"/>
  <c r="L102" i="2"/>
  <c r="J102" i="2"/>
  <c r="I102" i="2"/>
  <c r="G102" i="2"/>
  <c r="K101" i="2"/>
  <c r="Q101" i="2" s="1"/>
  <c r="K100" i="2"/>
  <c r="O100" i="2" s="1"/>
  <c r="M99" i="2"/>
  <c r="L99" i="2"/>
  <c r="K99" i="2"/>
  <c r="Q99" i="2" s="1"/>
  <c r="J99" i="2"/>
  <c r="I99" i="2"/>
  <c r="G99" i="2"/>
  <c r="K98" i="2"/>
  <c r="O98" i="2" s="1"/>
  <c r="K97" i="2"/>
  <c r="Q97" i="2" s="1"/>
  <c r="K96" i="2"/>
  <c r="K95" i="2"/>
  <c r="Q95" i="2" s="1"/>
  <c r="K94" i="2"/>
  <c r="Q94" i="2" s="1"/>
  <c r="K93" i="2"/>
  <c r="S93" i="2" s="1"/>
  <c r="K92" i="2"/>
  <c r="Q92" i="2" s="1"/>
  <c r="K91" i="2"/>
  <c r="Q91" i="2" s="1"/>
  <c r="M90" i="2"/>
  <c r="J90" i="2"/>
  <c r="I90" i="2"/>
  <c r="H90" i="2"/>
  <c r="H89" i="2" s="1"/>
  <c r="H88" i="2" s="1"/>
  <c r="G90" i="2"/>
  <c r="I151" i="1"/>
  <c r="J151" i="1"/>
  <c r="L151" i="1"/>
  <c r="M151" i="1"/>
  <c r="P151" i="1"/>
  <c r="Q151" i="1"/>
  <c r="R151" i="1"/>
  <c r="S151" i="1"/>
  <c r="I154" i="1"/>
  <c r="J154" i="1"/>
  <c r="L154" i="1"/>
  <c r="M154" i="1"/>
  <c r="P154" i="1"/>
  <c r="Q154" i="1"/>
  <c r="R154" i="1"/>
  <c r="S154" i="1"/>
  <c r="I160" i="1"/>
  <c r="J160" i="1"/>
  <c r="M160" i="1"/>
  <c r="O160" i="1"/>
  <c r="P160" i="1"/>
  <c r="Q160" i="1"/>
  <c r="H142" i="1"/>
  <c r="H141" i="1" s="1"/>
  <c r="H140" i="1" s="1"/>
  <c r="I142" i="1"/>
  <c r="J142" i="1"/>
  <c r="M142" i="1"/>
  <c r="P142" i="1"/>
  <c r="Q142" i="1"/>
  <c r="O138" i="1"/>
  <c r="K139" i="1"/>
  <c r="K137" i="1" s="1"/>
  <c r="K143" i="1"/>
  <c r="O143" i="1" s="1"/>
  <c r="K144" i="1"/>
  <c r="O144" i="1" s="1"/>
  <c r="K145" i="1"/>
  <c r="O145" i="1" s="1"/>
  <c r="K146" i="1"/>
  <c r="O146" i="1" s="1"/>
  <c r="K147" i="1"/>
  <c r="O147" i="1" s="1"/>
  <c r="K148" i="1"/>
  <c r="O148" i="1" s="1"/>
  <c r="K149" i="1"/>
  <c r="O149" i="1" s="1"/>
  <c r="K150" i="1"/>
  <c r="O150" i="1" s="1"/>
  <c r="K152" i="1"/>
  <c r="O152" i="1" s="1"/>
  <c r="K153" i="1"/>
  <c r="O153" i="1" s="1"/>
  <c r="K155" i="1"/>
  <c r="O155" i="1" s="1"/>
  <c r="K156" i="1"/>
  <c r="O156" i="1" s="1"/>
  <c r="K157" i="1"/>
  <c r="O157" i="1" s="1"/>
  <c r="K158" i="1"/>
  <c r="O158" i="1" s="1"/>
  <c r="K159" i="1"/>
  <c r="O159" i="1" s="1"/>
  <c r="K161" i="1"/>
  <c r="R161" i="1" s="1"/>
  <c r="R160" i="1" s="1"/>
  <c r="H126" i="1"/>
  <c r="H121" i="1" s="1"/>
  <c r="H107" i="1" s="1"/>
  <c r="I126" i="1"/>
  <c r="I121" i="1" s="1"/>
  <c r="I107" i="1" s="1"/>
  <c r="J126" i="1"/>
  <c r="J121" i="1" s="1"/>
  <c r="J107" i="1" s="1"/>
  <c r="P126" i="1"/>
  <c r="P121" i="1" s="1"/>
  <c r="P107" i="1" s="1"/>
  <c r="Q126" i="1"/>
  <c r="Q121" i="1" s="1"/>
  <c r="Q107" i="1" s="1"/>
  <c r="K136" i="1"/>
  <c r="O136" i="1" s="1"/>
  <c r="K135" i="1"/>
  <c r="O135" i="1" s="1"/>
  <c r="K134" i="1"/>
  <c r="K132" i="1"/>
  <c r="O132" i="1" s="1"/>
  <c r="K131" i="1"/>
  <c r="O131" i="1" s="1"/>
  <c r="K130" i="1"/>
  <c r="O130" i="1" s="1"/>
  <c r="K129" i="1"/>
  <c r="O129" i="1" s="1"/>
  <c r="K128" i="1"/>
  <c r="G154" i="1"/>
  <c r="G151" i="1"/>
  <c r="G142" i="1"/>
  <c r="G160" i="1"/>
  <c r="G126" i="1"/>
  <c r="G121" i="1" s="1"/>
  <c r="G107" i="1" s="1"/>
  <c r="K61" i="4" l="1"/>
  <c r="S62" i="4"/>
  <c r="J89" i="2"/>
  <c r="J88" i="2" s="1"/>
  <c r="T62" i="4"/>
  <c r="X62" i="4"/>
  <c r="W62" i="4"/>
  <c r="V62" i="4"/>
  <c r="O106" i="2"/>
  <c r="S99" i="2"/>
  <c r="T91" i="2"/>
  <c r="Q98" i="2"/>
  <c r="R104" i="2"/>
  <c r="O97" i="2"/>
  <c r="O101" i="2"/>
  <c r="O95" i="2"/>
  <c r="I89" i="2"/>
  <c r="I88" i="2" s="1"/>
  <c r="P103" i="2"/>
  <c r="P107" i="2"/>
  <c r="T105" i="2"/>
  <c r="O104" i="2"/>
  <c r="T101" i="2"/>
  <c r="R100" i="2"/>
  <c r="P99" i="2"/>
  <c r="T97" i="2"/>
  <c r="T95" i="2"/>
  <c r="R94" i="2"/>
  <c r="S91" i="2"/>
  <c r="M89" i="2"/>
  <c r="M88" i="2" s="1"/>
  <c r="L89" i="2"/>
  <c r="L88" i="2" s="1"/>
  <c r="S106" i="2"/>
  <c r="Q105" i="2"/>
  <c r="T103" i="2"/>
  <c r="S101" i="2"/>
  <c r="Q100" i="2"/>
  <c r="O99" i="2"/>
  <c r="S97" i="2"/>
  <c r="S95" i="2"/>
  <c r="P91" i="2"/>
  <c r="R106" i="2"/>
  <c r="Q103" i="2"/>
  <c r="P101" i="2"/>
  <c r="T99" i="2"/>
  <c r="R98" i="2"/>
  <c r="P97" i="2"/>
  <c r="P95" i="2"/>
  <c r="O91" i="2"/>
  <c r="L141" i="1"/>
  <c r="L140" i="1" s="1"/>
  <c r="O139" i="1"/>
  <c r="O137" i="1" s="1"/>
  <c r="O128" i="1"/>
  <c r="O127" i="1" s="1"/>
  <c r="K127" i="1"/>
  <c r="O134" i="1"/>
  <c r="O133" i="1" s="1"/>
  <c r="K133" i="1"/>
  <c r="G141" i="1"/>
  <c r="G140" i="1" s="1"/>
  <c r="O151" i="1"/>
  <c r="Q141" i="1"/>
  <c r="Q140" i="1" s="1"/>
  <c r="J141" i="1"/>
  <c r="J140" i="1" s="1"/>
  <c r="K151" i="1"/>
  <c r="L126" i="1"/>
  <c r="L121" i="1" s="1"/>
  <c r="L107" i="1" s="1"/>
  <c r="P141" i="1"/>
  <c r="P140" i="1" s="1"/>
  <c r="I141" i="1"/>
  <c r="I140" i="1" s="1"/>
  <c r="K90" i="2"/>
  <c r="K89" i="2" s="1"/>
  <c r="K88" i="2" s="1"/>
  <c r="O92" i="2"/>
  <c r="S92" i="2"/>
  <c r="P92" i="2"/>
  <c r="T92" i="2"/>
  <c r="R92" i="2"/>
  <c r="O96" i="2"/>
  <c r="S96" i="2"/>
  <c r="P96" i="2"/>
  <c r="T96" i="2"/>
  <c r="R96" i="2"/>
  <c r="K102" i="2"/>
  <c r="P104" i="2"/>
  <c r="T104" i="2"/>
  <c r="Q104" i="2"/>
  <c r="O154" i="1"/>
  <c r="K154" i="1"/>
  <c r="R107" i="2"/>
  <c r="O107" i="2"/>
  <c r="S107" i="2"/>
  <c r="K160" i="1"/>
  <c r="Q93" i="2"/>
  <c r="R93" i="2"/>
  <c r="P93" i="2"/>
  <c r="T93" i="2"/>
  <c r="G89" i="2"/>
  <c r="G88" i="2" s="1"/>
  <c r="R105" i="2"/>
  <c r="O105" i="2"/>
  <c r="S105" i="2"/>
  <c r="Q107" i="2"/>
  <c r="Q96" i="2"/>
  <c r="O93" i="2"/>
  <c r="Q106" i="2"/>
  <c r="S103" i="2"/>
  <c r="O103" i="2"/>
  <c r="R101" i="2"/>
  <c r="T100" i="2"/>
  <c r="P100" i="2"/>
  <c r="R99" i="2"/>
  <c r="T98" i="2"/>
  <c r="P98" i="2"/>
  <c r="R97" i="2"/>
  <c r="R95" i="2"/>
  <c r="T94" i="2"/>
  <c r="P94" i="2"/>
  <c r="R91" i="2"/>
  <c r="U62" i="4"/>
  <c r="T106" i="2"/>
  <c r="S100" i="2"/>
  <c r="S98" i="2"/>
  <c r="S94" i="2"/>
  <c r="O94" i="2"/>
  <c r="M141" i="1"/>
  <c r="M140" i="1" s="1"/>
  <c r="R142" i="1"/>
  <c r="R141" i="1" s="1"/>
  <c r="R140" i="1" s="1"/>
  <c r="K142" i="1"/>
  <c r="N135" i="1"/>
  <c r="M126" i="1"/>
  <c r="M121" i="1" s="1"/>
  <c r="M107" i="1" s="1"/>
  <c r="N156" i="1"/>
  <c r="S161" i="1"/>
  <c r="N159" i="1"/>
  <c r="N158" i="1"/>
  <c r="N157" i="1"/>
  <c r="N155" i="1"/>
  <c r="N153" i="1"/>
  <c r="N152" i="1"/>
  <c r="N151" i="1" s="1"/>
  <c r="N150" i="1"/>
  <c r="N149" i="1"/>
  <c r="N148" i="1"/>
  <c r="N147" i="1"/>
  <c r="N146" i="1"/>
  <c r="N145" i="1"/>
  <c r="N144" i="1"/>
  <c r="N138" i="1"/>
  <c r="N132" i="1"/>
  <c r="N131" i="1"/>
  <c r="K60" i="4" l="1"/>
  <c r="K59" i="4"/>
  <c r="N62" i="4"/>
  <c r="N139" i="1"/>
  <c r="AA54" i="4"/>
  <c r="N106" i="2"/>
  <c r="N97" i="2"/>
  <c r="N101" i="2"/>
  <c r="N104" i="2"/>
  <c r="N95" i="2"/>
  <c r="N93" i="2"/>
  <c r="N94" i="2"/>
  <c r="N103" i="2"/>
  <c r="N98" i="2"/>
  <c r="N91" i="2"/>
  <c r="N96" i="2"/>
  <c r="N107" i="2"/>
  <c r="N137" i="1"/>
  <c r="K126" i="1"/>
  <c r="K141" i="1"/>
  <c r="K140" i="1" s="1"/>
  <c r="O142" i="1"/>
  <c r="O141" i="1" s="1"/>
  <c r="O140" i="1" s="1"/>
  <c r="N100" i="2"/>
  <c r="O90" i="2"/>
  <c r="S90" i="2"/>
  <c r="P90" i="2"/>
  <c r="T90" i="2"/>
  <c r="R90" i="2"/>
  <c r="Q90" i="2"/>
  <c r="N161" i="1"/>
  <c r="N160" i="1" s="1"/>
  <c r="S160" i="1"/>
  <c r="N105" i="2"/>
  <c r="P102" i="2"/>
  <c r="T102" i="2"/>
  <c r="O102" i="2"/>
  <c r="Q102" i="2"/>
  <c r="R102" i="2"/>
  <c r="S102" i="2"/>
  <c r="N92" i="2"/>
  <c r="O126" i="1"/>
  <c r="N154" i="1"/>
  <c r="N143" i="1"/>
  <c r="N142" i="1" s="1"/>
  <c r="S142" i="1"/>
  <c r="N134" i="1"/>
  <c r="R126" i="1"/>
  <c r="R121" i="1" s="1"/>
  <c r="R107" i="1" s="1"/>
  <c r="N129" i="1"/>
  <c r="N130" i="1"/>
  <c r="N102" i="2" l="1"/>
  <c r="S141" i="1"/>
  <c r="S140" i="1" s="1"/>
  <c r="N90" i="2"/>
  <c r="N99" i="2"/>
  <c r="O89" i="2"/>
  <c r="O88" i="2" s="1"/>
  <c r="Q89" i="2"/>
  <c r="Q88" i="2" s="1"/>
  <c r="S89" i="2"/>
  <c r="S88" i="2" s="1"/>
  <c r="N89" i="2"/>
  <c r="N88" i="2" s="1"/>
  <c r="T89" i="2"/>
  <c r="T88" i="2" s="1"/>
  <c r="R89" i="2"/>
  <c r="R88" i="2" s="1"/>
  <c r="P89" i="2"/>
  <c r="P88" i="2" s="1"/>
  <c r="N141" i="1"/>
  <c r="N140" i="1" s="1"/>
  <c r="S126" i="1"/>
  <c r="S121" i="1" s="1"/>
  <c r="S107" i="1" s="1"/>
  <c r="N136" i="1"/>
  <c r="N133" i="1" s="1"/>
  <c r="N128" i="1"/>
  <c r="N127" i="1" s="1"/>
  <c r="N126" i="1" l="1"/>
  <c r="B137" i="1" l="1"/>
  <c r="B126" i="1"/>
  <c r="K125" i="1"/>
  <c r="O125" i="1" s="1"/>
  <c r="N125" i="1" s="1"/>
  <c r="K124" i="1"/>
  <c r="O124" i="1" s="1"/>
  <c r="K123" i="1"/>
  <c r="H12" i="4"/>
  <c r="I12" i="4"/>
  <c r="J12" i="4"/>
  <c r="G12" i="4"/>
  <c r="H15" i="4"/>
  <c r="I15" i="4"/>
  <c r="J15" i="4"/>
  <c r="L15" i="4"/>
  <c r="M15" i="4"/>
  <c r="G15" i="4"/>
  <c r="G19" i="4"/>
  <c r="G18" i="4" s="1"/>
  <c r="H33" i="4"/>
  <c r="I33" i="4"/>
  <c r="J33" i="4"/>
  <c r="L33" i="4"/>
  <c r="M33" i="4"/>
  <c r="G33" i="4"/>
  <c r="H44" i="4"/>
  <c r="I44" i="4"/>
  <c r="J44" i="4"/>
  <c r="L44" i="4"/>
  <c r="M44" i="4"/>
  <c r="G44" i="4"/>
  <c r="H50" i="4"/>
  <c r="I50" i="4"/>
  <c r="J50" i="4"/>
  <c r="L50" i="4"/>
  <c r="M50" i="4"/>
  <c r="G50" i="4"/>
  <c r="O123" i="1" l="1"/>
  <c r="O122" i="1" s="1"/>
  <c r="O121" i="1" s="1"/>
  <c r="O107" i="1" s="1"/>
  <c r="K122" i="1"/>
  <c r="K121" i="1" s="1"/>
  <c r="K107" i="1" s="1"/>
  <c r="N124" i="1"/>
  <c r="O10" i="3"/>
  <c r="P10" i="3"/>
  <c r="Q10" i="3"/>
  <c r="R10" i="3"/>
  <c r="S10" i="3"/>
  <c r="T10" i="3"/>
  <c r="U10" i="3"/>
  <c r="V10" i="3"/>
  <c r="W10" i="3"/>
  <c r="X10" i="3"/>
  <c r="Y10" i="3"/>
  <c r="Z10" i="3"/>
  <c r="W17" i="3"/>
  <c r="R18" i="3"/>
  <c r="S18" i="3"/>
  <c r="Z18" i="3"/>
  <c r="O19" i="3"/>
  <c r="W19" i="3"/>
  <c r="R20" i="3"/>
  <c r="S20" i="3"/>
  <c r="Z20" i="3"/>
  <c r="O29" i="3"/>
  <c r="V29" i="3"/>
  <c r="W29" i="3"/>
  <c r="S30" i="3"/>
  <c r="O33" i="3"/>
  <c r="V33" i="3"/>
  <c r="W33" i="3"/>
  <c r="G16" i="3"/>
  <c r="P21" i="1"/>
  <c r="Q21" i="1" s="1"/>
  <c r="H32" i="3"/>
  <c r="H31" i="3" s="1"/>
  <c r="I32" i="3"/>
  <c r="I31" i="3" s="1"/>
  <c r="J32" i="3"/>
  <c r="J31" i="3" s="1"/>
  <c r="L32" i="3"/>
  <c r="L31" i="3" s="1"/>
  <c r="M32" i="3"/>
  <c r="M31" i="3" s="1"/>
  <c r="G32" i="3"/>
  <c r="G31" i="3" s="1"/>
  <c r="H21" i="3"/>
  <c r="I21" i="3"/>
  <c r="J21" i="3"/>
  <c r="L21" i="3"/>
  <c r="M21" i="3"/>
  <c r="G21" i="3"/>
  <c r="J16" i="3"/>
  <c r="M16" i="3"/>
  <c r="K24" i="1"/>
  <c r="H13" i="3"/>
  <c r="H12" i="3" s="1"/>
  <c r="J13" i="3"/>
  <c r="J12" i="3" s="1"/>
  <c r="L13" i="3"/>
  <c r="L12" i="3" s="1"/>
  <c r="M13" i="3"/>
  <c r="M12" i="3" s="1"/>
  <c r="G13" i="3"/>
  <c r="G12" i="3" s="1"/>
  <c r="G51" i="2"/>
  <c r="G50" i="2" s="1"/>
  <c r="H51" i="2"/>
  <c r="H50" i="2" s="1"/>
  <c r="I51" i="2"/>
  <c r="I50" i="2" s="1"/>
  <c r="J51" i="2"/>
  <c r="J50" i="2" s="1"/>
  <c r="L51" i="2"/>
  <c r="L50" i="2" s="1"/>
  <c r="M51" i="2"/>
  <c r="M50" i="2" s="1"/>
  <c r="K53" i="2"/>
  <c r="O53" i="2" s="1"/>
  <c r="K52" i="2"/>
  <c r="O52" i="2" s="1"/>
  <c r="O21" i="2"/>
  <c r="K21" i="2"/>
  <c r="R21" i="2" s="1"/>
  <c r="O20" i="2"/>
  <c r="K20" i="2"/>
  <c r="M19" i="2"/>
  <c r="L19" i="2"/>
  <c r="J19" i="2"/>
  <c r="I19" i="2"/>
  <c r="H19" i="2"/>
  <c r="G19" i="2"/>
  <c r="K53" i="4"/>
  <c r="M52" i="4"/>
  <c r="L52" i="4"/>
  <c r="G52" i="4"/>
  <c r="K51" i="4"/>
  <c r="K49" i="4"/>
  <c r="K48" i="4"/>
  <c r="K47" i="4"/>
  <c r="K46" i="4"/>
  <c r="K45" i="4"/>
  <c r="K43" i="4"/>
  <c r="K42" i="4"/>
  <c r="K41" i="4"/>
  <c r="K40" i="4"/>
  <c r="K39" i="4"/>
  <c r="K38" i="4"/>
  <c r="K37" i="4"/>
  <c r="K36" i="4"/>
  <c r="K35" i="4"/>
  <c r="K34" i="4"/>
  <c r="K31" i="4"/>
  <c r="K30" i="4"/>
  <c r="M29" i="4"/>
  <c r="L29" i="4"/>
  <c r="J29" i="4"/>
  <c r="I29" i="4"/>
  <c r="H29" i="4"/>
  <c r="G29" i="4"/>
  <c r="K27" i="4"/>
  <c r="K26" i="4"/>
  <c r="K25" i="4"/>
  <c r="K24" i="4"/>
  <c r="M23" i="4"/>
  <c r="M22" i="4" s="1"/>
  <c r="L23" i="4"/>
  <c r="L22" i="4" s="1"/>
  <c r="J23" i="4"/>
  <c r="J22" i="4" s="1"/>
  <c r="I23" i="4"/>
  <c r="I22" i="4" s="1"/>
  <c r="H23" i="4"/>
  <c r="H22" i="4" s="1"/>
  <c r="G23" i="4"/>
  <c r="G22" i="4" s="1"/>
  <c r="K20" i="4"/>
  <c r="M19" i="4"/>
  <c r="M18" i="4" s="1"/>
  <c r="L19" i="4"/>
  <c r="L18" i="4" s="1"/>
  <c r="J19" i="4"/>
  <c r="J18" i="4" s="1"/>
  <c r="I19" i="4"/>
  <c r="I18" i="4" s="1"/>
  <c r="H19" i="4"/>
  <c r="H18" i="4" s="1"/>
  <c r="K17" i="4"/>
  <c r="K16" i="4"/>
  <c r="K14" i="4"/>
  <c r="M13" i="4"/>
  <c r="M12" i="4" s="1"/>
  <c r="L13" i="4"/>
  <c r="L12" i="4" s="1"/>
  <c r="K34" i="3"/>
  <c r="O34" i="3" s="1"/>
  <c r="K33" i="3"/>
  <c r="K30" i="3"/>
  <c r="I30" i="3"/>
  <c r="K29" i="3"/>
  <c r="S29" i="3" s="1"/>
  <c r="I29" i="3"/>
  <c r="K28" i="3"/>
  <c r="S28" i="3" s="1"/>
  <c r="I28" i="3"/>
  <c r="K27" i="3"/>
  <c r="S27" i="3" s="1"/>
  <c r="I27" i="3"/>
  <c r="M26" i="3"/>
  <c r="M25" i="3" s="1"/>
  <c r="L26" i="3"/>
  <c r="L25" i="3" s="1"/>
  <c r="J26" i="3"/>
  <c r="J25" i="3" s="1"/>
  <c r="H26" i="3"/>
  <c r="H25" i="3" s="1"/>
  <c r="G26" i="3"/>
  <c r="G25" i="3" s="1"/>
  <c r="K23" i="3"/>
  <c r="K22" i="3"/>
  <c r="O22" i="3" s="1"/>
  <c r="K20" i="3"/>
  <c r="K19" i="3"/>
  <c r="S19" i="3" s="1"/>
  <c r="I19" i="3"/>
  <c r="K18" i="3"/>
  <c r="O18" i="3" s="1"/>
  <c r="I18" i="3"/>
  <c r="K17" i="3"/>
  <c r="S17" i="3" s="1"/>
  <c r="K15" i="3"/>
  <c r="K14" i="3"/>
  <c r="R14" i="3" s="1"/>
  <c r="I14" i="3"/>
  <c r="I13" i="3" s="1"/>
  <c r="I12" i="3" s="1"/>
  <c r="H22" i="2"/>
  <c r="I22" i="2"/>
  <c r="J22" i="2"/>
  <c r="L22" i="2"/>
  <c r="M22" i="2"/>
  <c r="G22" i="2"/>
  <c r="H29" i="2"/>
  <c r="H28" i="2" s="1"/>
  <c r="I29" i="2"/>
  <c r="I28" i="2" s="1"/>
  <c r="J29" i="2"/>
  <c r="J28" i="2" s="1"/>
  <c r="L29" i="2"/>
  <c r="L28" i="2" s="1"/>
  <c r="M29" i="2"/>
  <c r="M28" i="2" s="1"/>
  <c r="G29" i="2"/>
  <c r="G28" i="2" s="1"/>
  <c r="H54" i="2"/>
  <c r="I54" i="2"/>
  <c r="J54" i="2"/>
  <c r="L54" i="2"/>
  <c r="M54" i="2"/>
  <c r="M49" i="2" s="1"/>
  <c r="G54" i="2"/>
  <c r="K55" i="2"/>
  <c r="P55" i="2" s="1"/>
  <c r="K48" i="2"/>
  <c r="K47" i="2"/>
  <c r="R47" i="2" s="1"/>
  <c r="K46" i="2"/>
  <c r="P46" i="2" s="1"/>
  <c r="K45" i="2"/>
  <c r="K44" i="2"/>
  <c r="R44" i="2" s="1"/>
  <c r="K43" i="2"/>
  <c r="R43" i="2" s="1"/>
  <c r="K42" i="2"/>
  <c r="P42" i="2" s="1"/>
  <c r="K41" i="2"/>
  <c r="P41" i="2" s="1"/>
  <c r="M40" i="2"/>
  <c r="M39" i="2" s="1"/>
  <c r="L40" i="2"/>
  <c r="L39" i="2" s="1"/>
  <c r="J40" i="2"/>
  <c r="J39" i="2" s="1"/>
  <c r="I40" i="2"/>
  <c r="I39" i="2" s="1"/>
  <c r="H40" i="2"/>
  <c r="H39" i="2" s="1"/>
  <c r="G40" i="2"/>
  <c r="G39" i="2" s="1"/>
  <c r="K37" i="2"/>
  <c r="R37" i="2" s="1"/>
  <c r="K36" i="2"/>
  <c r="K35" i="2"/>
  <c r="P35" i="2" s="1"/>
  <c r="K34" i="2"/>
  <c r="R34" i="2" s="1"/>
  <c r="K33" i="2"/>
  <c r="K32" i="2"/>
  <c r="T32" i="2" s="1"/>
  <c r="K31" i="2"/>
  <c r="P31" i="2" s="1"/>
  <c r="K30" i="2"/>
  <c r="R30" i="2" s="1"/>
  <c r="K27" i="2"/>
  <c r="P27" i="2" s="1"/>
  <c r="K26" i="2"/>
  <c r="R26" i="2" s="1"/>
  <c r="K25" i="2"/>
  <c r="K24" i="2"/>
  <c r="K23" i="2"/>
  <c r="O23" i="2" s="1"/>
  <c r="J17" i="2"/>
  <c r="M17" i="2" s="1"/>
  <c r="M16" i="2"/>
  <c r="K16" i="2" s="1"/>
  <c r="M15" i="2"/>
  <c r="K15" i="2" s="1"/>
  <c r="M14" i="2"/>
  <c r="K14" i="2" s="1"/>
  <c r="O14" i="2" s="1"/>
  <c r="L13" i="2"/>
  <c r="L12" i="2" s="1"/>
  <c r="I13" i="2"/>
  <c r="I12" i="2" s="1"/>
  <c r="H13" i="2"/>
  <c r="H12" i="2" s="1"/>
  <c r="G13" i="2"/>
  <c r="G12" i="2" s="1"/>
  <c r="S17" i="4" l="1"/>
  <c r="S27" i="4"/>
  <c r="S31" i="4"/>
  <c r="S41" i="4"/>
  <c r="S51" i="4"/>
  <c r="S38" i="4"/>
  <c r="S47" i="4"/>
  <c r="S14" i="4"/>
  <c r="R14" i="4"/>
  <c r="S20" i="4"/>
  <c r="S25" i="4"/>
  <c r="S35" i="4"/>
  <c r="S39" i="4"/>
  <c r="S43" i="4"/>
  <c r="S48" i="4"/>
  <c r="S37" i="4"/>
  <c r="S46" i="4"/>
  <c r="S53" i="4"/>
  <c r="S24" i="4"/>
  <c r="S34" i="4"/>
  <c r="S42" i="4"/>
  <c r="S26" i="4"/>
  <c r="S30" i="4"/>
  <c r="S36" i="4"/>
  <c r="S40" i="4"/>
  <c r="S45" i="4"/>
  <c r="S49" i="4"/>
  <c r="Z34" i="3"/>
  <c r="S34" i="3"/>
  <c r="I49" i="2"/>
  <c r="S15" i="3"/>
  <c r="W15" i="3"/>
  <c r="V15" i="3"/>
  <c r="O17" i="3"/>
  <c r="W27" i="3"/>
  <c r="S14" i="3"/>
  <c r="Z22" i="3"/>
  <c r="R22" i="3"/>
  <c r="R34" i="3"/>
  <c r="O14" i="3"/>
  <c r="W14" i="3"/>
  <c r="Y14" i="3"/>
  <c r="Z14" i="3"/>
  <c r="K32" i="3"/>
  <c r="Y32" i="3" s="1"/>
  <c r="V107" i="1"/>
  <c r="V27" i="3"/>
  <c r="O27" i="3"/>
  <c r="S22" i="3"/>
  <c r="O51" i="2"/>
  <c r="O50" i="2" s="1"/>
  <c r="G49" i="2"/>
  <c r="H49" i="2"/>
  <c r="L49" i="2"/>
  <c r="Q52" i="2"/>
  <c r="J49" i="2"/>
  <c r="R52" i="2"/>
  <c r="P23" i="3"/>
  <c r="T23" i="3"/>
  <c r="X23" i="3"/>
  <c r="Q23" i="3"/>
  <c r="U23" i="3"/>
  <c r="Y23" i="3"/>
  <c r="P32" i="3"/>
  <c r="T32" i="3"/>
  <c r="X32" i="3"/>
  <c r="Q32" i="3"/>
  <c r="U32" i="3"/>
  <c r="W23" i="3"/>
  <c r="O23" i="3"/>
  <c r="P28" i="3"/>
  <c r="T28" i="3"/>
  <c r="X28" i="3"/>
  <c r="Q28" i="3"/>
  <c r="U28" i="3"/>
  <c r="Y28" i="3"/>
  <c r="P30" i="3"/>
  <c r="T30" i="3"/>
  <c r="X30" i="3"/>
  <c r="Q30" i="3"/>
  <c r="U30" i="3"/>
  <c r="Y30" i="3"/>
  <c r="K16" i="3"/>
  <c r="Z30" i="3"/>
  <c r="V23" i="3"/>
  <c r="V19" i="3"/>
  <c r="P20" i="3"/>
  <c r="T20" i="3"/>
  <c r="X20" i="3"/>
  <c r="Q20" i="3"/>
  <c r="N20" i="3" s="1"/>
  <c r="U20" i="3"/>
  <c r="Y20" i="3"/>
  <c r="P33" i="3"/>
  <c r="T33" i="3"/>
  <c r="X33" i="3"/>
  <c r="Q33" i="3"/>
  <c r="U33" i="3"/>
  <c r="Y33" i="3"/>
  <c r="K51" i="2"/>
  <c r="K50" i="2" s="1"/>
  <c r="P53" i="2"/>
  <c r="T53" i="2"/>
  <c r="S52" i="2"/>
  <c r="W34" i="3"/>
  <c r="S33" i="3"/>
  <c r="W30" i="3"/>
  <c r="O30" i="3"/>
  <c r="N30" i="3" s="1"/>
  <c r="W28" i="3"/>
  <c r="O28" i="3"/>
  <c r="S23" i="3"/>
  <c r="W22" i="3"/>
  <c r="W20" i="3"/>
  <c r="O20" i="3"/>
  <c r="W18" i="3"/>
  <c r="P15" i="3"/>
  <c r="T15" i="3"/>
  <c r="X15" i="3"/>
  <c r="Q15" i="3"/>
  <c r="U15" i="3"/>
  <c r="Y15" i="3"/>
  <c r="R53" i="2"/>
  <c r="R51" i="2" s="1"/>
  <c r="R50" i="2" s="1"/>
  <c r="K13" i="3"/>
  <c r="S32" i="3"/>
  <c r="O15" i="3"/>
  <c r="N15" i="3" s="1"/>
  <c r="P17" i="3"/>
  <c r="T17" i="3"/>
  <c r="X17" i="3"/>
  <c r="Q17" i="3"/>
  <c r="N17" i="3" s="1"/>
  <c r="U17" i="3"/>
  <c r="Y17" i="3"/>
  <c r="P19" i="3"/>
  <c r="T19" i="3"/>
  <c r="X19" i="3"/>
  <c r="Q19" i="3"/>
  <c r="U19" i="3"/>
  <c r="Y19" i="3"/>
  <c r="S53" i="2"/>
  <c r="R32" i="3"/>
  <c r="R30" i="3"/>
  <c r="Z28" i="3"/>
  <c r="R28" i="3"/>
  <c r="V17" i="3"/>
  <c r="P14" i="3"/>
  <c r="T14" i="3"/>
  <c r="X14" i="3"/>
  <c r="Q14" i="3"/>
  <c r="U14" i="3"/>
  <c r="P18" i="3"/>
  <c r="T18" i="3"/>
  <c r="X18" i="3"/>
  <c r="Q18" i="3"/>
  <c r="U18" i="3"/>
  <c r="Y18" i="3"/>
  <c r="P22" i="3"/>
  <c r="T22" i="3"/>
  <c r="X22" i="3"/>
  <c r="K21" i="3"/>
  <c r="Q22" i="3"/>
  <c r="N22" i="3" s="1"/>
  <c r="U22" i="3"/>
  <c r="Y22" i="3"/>
  <c r="P27" i="3"/>
  <c r="T27" i="3"/>
  <c r="X27" i="3"/>
  <c r="Q27" i="3"/>
  <c r="U27" i="3"/>
  <c r="Y27" i="3"/>
  <c r="P29" i="3"/>
  <c r="T29" i="3"/>
  <c r="X29" i="3"/>
  <c r="Q29" i="3"/>
  <c r="U29" i="3"/>
  <c r="Y29" i="3"/>
  <c r="P34" i="3"/>
  <c r="T34" i="3"/>
  <c r="X34" i="3"/>
  <c r="Q34" i="3"/>
  <c r="U34" i="3"/>
  <c r="Y34" i="3"/>
  <c r="Q53" i="2"/>
  <c r="Q51" i="2" s="1"/>
  <c r="Q50" i="2" s="1"/>
  <c r="P52" i="2"/>
  <c r="P51" i="2" s="1"/>
  <c r="P50" i="2" s="1"/>
  <c r="T52" i="2"/>
  <c r="V34" i="3"/>
  <c r="Z33" i="3"/>
  <c r="R33" i="3"/>
  <c r="V30" i="3"/>
  <c r="Z29" i="3"/>
  <c r="R29" i="3"/>
  <c r="N29" i="3" s="1"/>
  <c r="V28" i="3"/>
  <c r="Z27" i="3"/>
  <c r="R27" i="3"/>
  <c r="Z23" i="3"/>
  <c r="R23" i="3"/>
  <c r="V22" i="3"/>
  <c r="V20" i="3"/>
  <c r="Z19" i="3"/>
  <c r="R19" i="3"/>
  <c r="V18" i="3"/>
  <c r="Z17" i="3"/>
  <c r="R17" i="3"/>
  <c r="Z15" i="3"/>
  <c r="R15" i="3"/>
  <c r="V14" i="3"/>
  <c r="R24" i="1"/>
  <c r="R23" i="1" s="1"/>
  <c r="U38" i="4"/>
  <c r="V38" i="4"/>
  <c r="W38" i="4"/>
  <c r="X38" i="4"/>
  <c r="T38" i="4"/>
  <c r="V16" i="4"/>
  <c r="W16" i="4"/>
  <c r="X16" i="4"/>
  <c r="U16" i="4"/>
  <c r="V20" i="4"/>
  <c r="W20" i="4"/>
  <c r="T20" i="4"/>
  <c r="X20" i="4"/>
  <c r="U20" i="4"/>
  <c r="V25" i="4"/>
  <c r="W25" i="4"/>
  <c r="T25" i="4"/>
  <c r="U25" i="4"/>
  <c r="X25" i="4"/>
  <c r="T35" i="4"/>
  <c r="X35" i="4"/>
  <c r="U35" i="4"/>
  <c r="V35" i="4"/>
  <c r="W35" i="4"/>
  <c r="T39" i="4"/>
  <c r="X39" i="4"/>
  <c r="V39" i="4"/>
  <c r="W39" i="4"/>
  <c r="U39" i="4"/>
  <c r="T43" i="4"/>
  <c r="X43" i="4"/>
  <c r="W43" i="4"/>
  <c r="U43" i="4"/>
  <c r="V43" i="4"/>
  <c r="W48" i="4"/>
  <c r="T48" i="4"/>
  <c r="U48" i="4"/>
  <c r="V48" i="4"/>
  <c r="X48" i="4"/>
  <c r="W24" i="4"/>
  <c r="T24" i="4"/>
  <c r="X24" i="4"/>
  <c r="U24" i="4"/>
  <c r="V24" i="4"/>
  <c r="U34" i="4"/>
  <c r="T34" i="4"/>
  <c r="X34" i="4"/>
  <c r="V34" i="4"/>
  <c r="W34" i="4"/>
  <c r="T47" i="4"/>
  <c r="X47" i="4"/>
  <c r="W47" i="4"/>
  <c r="U47" i="4"/>
  <c r="V47" i="4"/>
  <c r="U17" i="4"/>
  <c r="V17" i="4"/>
  <c r="W17" i="4"/>
  <c r="X17" i="4"/>
  <c r="T17" i="4"/>
  <c r="U26" i="4"/>
  <c r="V26" i="4"/>
  <c r="W26" i="4"/>
  <c r="X26" i="4"/>
  <c r="T26" i="4"/>
  <c r="U30" i="4"/>
  <c r="V30" i="4"/>
  <c r="T30" i="4"/>
  <c r="W30" i="4"/>
  <c r="X30" i="4"/>
  <c r="W36" i="4"/>
  <c r="U36" i="4"/>
  <c r="V36" i="4"/>
  <c r="X36" i="4"/>
  <c r="T36" i="4"/>
  <c r="W40" i="4"/>
  <c r="V40" i="4"/>
  <c r="U40" i="4"/>
  <c r="X40" i="4"/>
  <c r="T40" i="4"/>
  <c r="V45" i="4"/>
  <c r="X45" i="4"/>
  <c r="T45" i="4"/>
  <c r="U45" i="4"/>
  <c r="W45" i="4"/>
  <c r="V49" i="4"/>
  <c r="T49" i="4"/>
  <c r="X49" i="4"/>
  <c r="U49" i="4"/>
  <c r="W49" i="4"/>
  <c r="T14" i="4"/>
  <c r="X14" i="4"/>
  <c r="U14" i="4"/>
  <c r="V14" i="4"/>
  <c r="W14" i="4"/>
  <c r="U42" i="4"/>
  <c r="W42" i="4"/>
  <c r="X42" i="4"/>
  <c r="T42" i="4"/>
  <c r="V42" i="4"/>
  <c r="T27" i="4"/>
  <c r="X27" i="4"/>
  <c r="U27" i="4"/>
  <c r="V27" i="4"/>
  <c r="W27" i="4"/>
  <c r="T31" i="4"/>
  <c r="X31" i="4"/>
  <c r="U31" i="4"/>
  <c r="V31" i="4"/>
  <c r="W31" i="4"/>
  <c r="V37" i="4"/>
  <c r="U37" i="4"/>
  <c r="W37" i="4"/>
  <c r="X37" i="4"/>
  <c r="T37" i="4"/>
  <c r="V41" i="4"/>
  <c r="W41" i="4"/>
  <c r="X41" i="4"/>
  <c r="T41" i="4"/>
  <c r="U41" i="4"/>
  <c r="U46" i="4"/>
  <c r="X46" i="4"/>
  <c r="T46" i="4"/>
  <c r="V46" i="4"/>
  <c r="W46" i="4"/>
  <c r="T51" i="4"/>
  <c r="X51" i="4"/>
  <c r="U51" i="4"/>
  <c r="V51" i="4"/>
  <c r="W51" i="4"/>
  <c r="V53" i="4"/>
  <c r="U53" i="4"/>
  <c r="W53" i="4"/>
  <c r="X53" i="4"/>
  <c r="T53" i="4"/>
  <c r="K15" i="4"/>
  <c r="K50" i="4"/>
  <c r="K33" i="4"/>
  <c r="K44" i="4"/>
  <c r="J32" i="4"/>
  <c r="J28" i="4" s="1"/>
  <c r="G32" i="4"/>
  <c r="G28" i="4" s="1"/>
  <c r="I32" i="4"/>
  <c r="I28" i="4" s="1"/>
  <c r="L32" i="4"/>
  <c r="L28" i="4" s="1"/>
  <c r="M32" i="4"/>
  <c r="M28" i="4" s="1"/>
  <c r="H32" i="4"/>
  <c r="H28" i="4" s="1"/>
  <c r="H21" i="4" s="1"/>
  <c r="H11" i="4" s="1"/>
  <c r="N23" i="3"/>
  <c r="G18" i="2"/>
  <c r="N53" i="2"/>
  <c r="L18" i="2"/>
  <c r="K19" i="2"/>
  <c r="P21" i="2"/>
  <c r="H18" i="2"/>
  <c r="J18" i="2"/>
  <c r="I18" i="2"/>
  <c r="S21" i="2"/>
  <c r="M18" i="2"/>
  <c r="T21" i="2"/>
  <c r="S20" i="2"/>
  <c r="O19" i="2"/>
  <c r="Q21" i="2"/>
  <c r="P20" i="2"/>
  <c r="T20" i="2"/>
  <c r="Q20" i="2"/>
  <c r="R20" i="2"/>
  <c r="R19" i="2" s="1"/>
  <c r="K19" i="4"/>
  <c r="K23" i="4"/>
  <c r="K13" i="4"/>
  <c r="K29" i="4"/>
  <c r="K52" i="4"/>
  <c r="K22" i="2"/>
  <c r="K18" i="2" s="1"/>
  <c r="I17" i="3"/>
  <c r="I16" i="3" s="1"/>
  <c r="K26" i="3"/>
  <c r="I26" i="3"/>
  <c r="I25" i="3" s="1"/>
  <c r="K29" i="2"/>
  <c r="O31" i="2"/>
  <c r="S27" i="2"/>
  <c r="S35" i="2"/>
  <c r="Q47" i="2"/>
  <c r="S42" i="2"/>
  <c r="Q26" i="2"/>
  <c r="T43" i="2"/>
  <c r="R42" i="2"/>
  <c r="R35" i="2"/>
  <c r="P34" i="2"/>
  <c r="T30" i="2"/>
  <c r="R27" i="2"/>
  <c r="P26" i="2"/>
  <c r="S46" i="2"/>
  <c r="Q43" i="2"/>
  <c r="O42" i="2"/>
  <c r="O35" i="2"/>
  <c r="S31" i="2"/>
  <c r="Q30" i="2"/>
  <c r="O27" i="2"/>
  <c r="R23" i="2"/>
  <c r="Q34" i="2"/>
  <c r="P47" i="2"/>
  <c r="T47" i="2"/>
  <c r="R46" i="2"/>
  <c r="P43" i="2"/>
  <c r="T34" i="2"/>
  <c r="R31" i="2"/>
  <c r="P30" i="2"/>
  <c r="T26" i="2"/>
  <c r="R14" i="2"/>
  <c r="O46" i="2"/>
  <c r="Q15" i="2"/>
  <c r="R15" i="2"/>
  <c r="O15" i="2"/>
  <c r="S15" i="2"/>
  <c r="P15" i="2"/>
  <c r="T15" i="2"/>
  <c r="Q36" i="2"/>
  <c r="R36" i="2"/>
  <c r="O36" i="2"/>
  <c r="S36" i="2"/>
  <c r="O48" i="2"/>
  <c r="S48" i="2"/>
  <c r="P48" i="2"/>
  <c r="T48" i="2"/>
  <c r="Q48" i="2"/>
  <c r="O33" i="2"/>
  <c r="S33" i="2"/>
  <c r="P33" i="2"/>
  <c r="T33" i="2"/>
  <c r="Q33" i="2"/>
  <c r="R55" i="2"/>
  <c r="O55" i="2"/>
  <c r="S55" i="2"/>
  <c r="K54" i="2"/>
  <c r="K49" i="2" s="1"/>
  <c r="T36" i="2"/>
  <c r="R33" i="2"/>
  <c r="Q24" i="2"/>
  <c r="R24" i="2"/>
  <c r="P24" i="2"/>
  <c r="O24" i="2"/>
  <c r="S24" i="2"/>
  <c r="O44" i="2"/>
  <c r="S44" i="2"/>
  <c r="P44" i="2"/>
  <c r="T44" i="2"/>
  <c r="Q44" i="2"/>
  <c r="Q45" i="2"/>
  <c r="R45" i="2"/>
  <c r="O45" i="2"/>
  <c r="S45" i="2"/>
  <c r="T55" i="2"/>
  <c r="T45" i="2"/>
  <c r="P36" i="2"/>
  <c r="T24" i="2"/>
  <c r="Q32" i="2"/>
  <c r="R32" i="2"/>
  <c r="O32" i="2"/>
  <c r="S32" i="2"/>
  <c r="O16" i="2"/>
  <c r="S16" i="2"/>
  <c r="P16" i="2"/>
  <c r="T16" i="2"/>
  <c r="R16" i="2"/>
  <c r="Q16" i="2"/>
  <c r="O25" i="2"/>
  <c r="S25" i="2"/>
  <c r="P25" i="2"/>
  <c r="T25" i="2"/>
  <c r="R25" i="2"/>
  <c r="Q25" i="2"/>
  <c r="O37" i="2"/>
  <c r="S37" i="2"/>
  <c r="P37" i="2"/>
  <c r="T37" i="2"/>
  <c r="Q37" i="2"/>
  <c r="Q41" i="2"/>
  <c r="R41" i="2"/>
  <c r="O41" i="2"/>
  <c r="S41" i="2"/>
  <c r="Q55" i="2"/>
  <c r="R48" i="2"/>
  <c r="P45" i="2"/>
  <c r="T41" i="2"/>
  <c r="P32" i="2"/>
  <c r="S47" i="2"/>
  <c r="O47" i="2"/>
  <c r="Q46" i="2"/>
  <c r="S43" i="2"/>
  <c r="O43" i="2"/>
  <c r="Q42" i="2"/>
  <c r="Q35" i="2"/>
  <c r="S34" i="2"/>
  <c r="O34" i="2"/>
  <c r="Q31" i="2"/>
  <c r="S30" i="2"/>
  <c r="O30" i="2"/>
  <c r="Q27" i="2"/>
  <c r="S26" i="2"/>
  <c r="O26" i="2"/>
  <c r="Q23" i="2"/>
  <c r="Q14" i="2"/>
  <c r="T46" i="2"/>
  <c r="T42" i="2"/>
  <c r="T35" i="2"/>
  <c r="T31" i="2"/>
  <c r="T27" i="2"/>
  <c r="T23" i="2"/>
  <c r="P23" i="2"/>
  <c r="T14" i="2"/>
  <c r="P14" i="2"/>
  <c r="S23" i="2"/>
  <c r="S14" i="2"/>
  <c r="J13" i="2"/>
  <c r="J12" i="2" s="1"/>
  <c r="K40" i="2"/>
  <c r="K17" i="2"/>
  <c r="M13" i="2"/>
  <c r="M12" i="2" s="1"/>
  <c r="K106" i="1"/>
  <c r="S13" i="4" l="1"/>
  <c r="R13" i="4"/>
  <c r="S29" i="4"/>
  <c r="S52" i="4"/>
  <c r="S19" i="4"/>
  <c r="N42" i="4"/>
  <c r="N38" i="4"/>
  <c r="O32" i="3"/>
  <c r="S51" i="2"/>
  <c r="S50" i="2" s="1"/>
  <c r="N34" i="3"/>
  <c r="N40" i="4"/>
  <c r="V32" i="3"/>
  <c r="W32" i="3"/>
  <c r="M11" i="2"/>
  <c r="N24" i="4"/>
  <c r="N18" i="3"/>
  <c r="N19" i="3"/>
  <c r="Z32" i="3"/>
  <c r="K31" i="3"/>
  <c r="R31" i="3" s="1"/>
  <c r="N30" i="4"/>
  <c r="P21" i="3"/>
  <c r="T21" i="3"/>
  <c r="X21" i="3"/>
  <c r="Q21" i="3"/>
  <c r="U21" i="3"/>
  <c r="Y21" i="3"/>
  <c r="R21" i="3"/>
  <c r="Z21" i="3"/>
  <c r="V21" i="3"/>
  <c r="O21" i="3"/>
  <c r="S21" i="3"/>
  <c r="W21" i="3"/>
  <c r="P26" i="3"/>
  <c r="T26" i="3"/>
  <c r="X26" i="3"/>
  <c r="Q26" i="3"/>
  <c r="U26" i="3"/>
  <c r="Y26" i="3"/>
  <c r="K25" i="3"/>
  <c r="V26" i="3"/>
  <c r="Z26" i="3"/>
  <c r="O26" i="3"/>
  <c r="W26" i="3"/>
  <c r="R26" i="3"/>
  <c r="S26" i="3"/>
  <c r="Y31" i="3"/>
  <c r="N37" i="4"/>
  <c r="P16" i="3"/>
  <c r="T16" i="3"/>
  <c r="X16" i="3"/>
  <c r="Q16" i="3"/>
  <c r="U16" i="3"/>
  <c r="Y16" i="3"/>
  <c r="V16" i="3"/>
  <c r="R16" i="3"/>
  <c r="O16" i="3"/>
  <c r="W16" i="3"/>
  <c r="Z16" i="3"/>
  <c r="S16" i="3"/>
  <c r="N21" i="3"/>
  <c r="N52" i="2"/>
  <c r="T51" i="2"/>
  <c r="T50" i="2" s="1"/>
  <c r="P13" i="3"/>
  <c r="T13" i="3"/>
  <c r="X13" i="3"/>
  <c r="Q13" i="3"/>
  <c r="U13" i="3"/>
  <c r="Y13" i="3"/>
  <c r="R13" i="3"/>
  <c r="Z13" i="3"/>
  <c r="W13" i="3"/>
  <c r="S13" i="3"/>
  <c r="K12" i="3"/>
  <c r="V13" i="3"/>
  <c r="O13" i="3"/>
  <c r="N123" i="1"/>
  <c r="N122" i="1" s="1"/>
  <c r="N121" i="1" s="1"/>
  <c r="N107" i="1" s="1"/>
  <c r="S24" i="1"/>
  <c r="N41" i="4"/>
  <c r="N48" i="4"/>
  <c r="N43" i="4"/>
  <c r="N39" i="4"/>
  <c r="N35" i="4"/>
  <c r="N25" i="4"/>
  <c r="N27" i="4"/>
  <c r="K18" i="4"/>
  <c r="W19" i="4"/>
  <c r="T19" i="4"/>
  <c r="X19" i="4"/>
  <c r="U19" i="4"/>
  <c r="V19" i="4"/>
  <c r="K12" i="4"/>
  <c r="U13" i="4"/>
  <c r="V13" i="4"/>
  <c r="W13" i="4"/>
  <c r="T13" i="4"/>
  <c r="X13" i="4"/>
  <c r="W52" i="4"/>
  <c r="U52" i="4"/>
  <c r="T52" i="4"/>
  <c r="V52" i="4"/>
  <c r="X52" i="4"/>
  <c r="N17" i="4"/>
  <c r="V29" i="4"/>
  <c r="W29" i="4"/>
  <c r="X29" i="4"/>
  <c r="T29" i="4"/>
  <c r="U29" i="4"/>
  <c r="K22" i="4"/>
  <c r="K32" i="4"/>
  <c r="G21" i="4"/>
  <c r="G11" i="4" s="1"/>
  <c r="L21" i="4"/>
  <c r="L11" i="4" s="1"/>
  <c r="M21" i="4"/>
  <c r="M11" i="4" s="1"/>
  <c r="J21" i="4"/>
  <c r="J11" i="4" s="1"/>
  <c r="N49" i="4"/>
  <c r="N31" i="4"/>
  <c r="I21" i="4"/>
  <c r="I11" i="4" s="1"/>
  <c r="H9" i="4"/>
  <c r="H8" i="4" s="1"/>
  <c r="N51" i="2"/>
  <c r="N50" i="2" s="1"/>
  <c r="P19" i="2"/>
  <c r="N21" i="2"/>
  <c r="S19" i="2"/>
  <c r="Q19" i="2"/>
  <c r="T19" i="2"/>
  <c r="N20" i="2"/>
  <c r="N19" i="2" s="1"/>
  <c r="O22" i="2"/>
  <c r="O18" i="2" s="1"/>
  <c r="P22" i="2"/>
  <c r="N26" i="4"/>
  <c r="N36" i="4"/>
  <c r="N46" i="4"/>
  <c r="N53" i="4"/>
  <c r="N52" i="4" s="1"/>
  <c r="N20" i="4"/>
  <c r="N19" i="4" s="1"/>
  <c r="M24" i="3"/>
  <c r="M11" i="3" s="1"/>
  <c r="M9" i="3" s="1"/>
  <c r="M8" i="3" s="1"/>
  <c r="L24" i="3"/>
  <c r="L11" i="3" s="1"/>
  <c r="L9" i="3" s="1"/>
  <c r="L8" i="3" s="1"/>
  <c r="Q22" i="2"/>
  <c r="S22" i="2"/>
  <c r="T22" i="2"/>
  <c r="S29" i="2"/>
  <c r="P29" i="2"/>
  <c r="R22" i="2"/>
  <c r="R18" i="2" s="1"/>
  <c r="J24" i="3"/>
  <c r="J11" i="3" s="1"/>
  <c r="J9" i="3" s="1"/>
  <c r="J8" i="3" s="1"/>
  <c r="G24" i="3"/>
  <c r="G11" i="3" s="1"/>
  <c r="G9" i="3" s="1"/>
  <c r="G8" i="3" s="1"/>
  <c r="H24" i="3"/>
  <c r="H11" i="3" s="1"/>
  <c r="H9" i="3" s="1"/>
  <c r="H8" i="3" s="1"/>
  <c r="N16" i="3"/>
  <c r="N33" i="3"/>
  <c r="N14" i="3"/>
  <c r="N13" i="3" s="1"/>
  <c r="N12" i="3" s="1"/>
  <c r="I24" i="3"/>
  <c r="I11" i="3" s="1"/>
  <c r="I9" i="3" s="1"/>
  <c r="I8" i="3" s="1"/>
  <c r="N28" i="3"/>
  <c r="N27" i="3"/>
  <c r="Q29" i="2"/>
  <c r="T29" i="2"/>
  <c r="N41" i="2"/>
  <c r="R29" i="2"/>
  <c r="O29" i="2"/>
  <c r="N33" i="2"/>
  <c r="N14" i="2"/>
  <c r="N31" i="2"/>
  <c r="N47" i="2"/>
  <c r="N27" i="2"/>
  <c r="N48" i="2"/>
  <c r="N15" i="2"/>
  <c r="N44" i="2"/>
  <c r="N46" i="2"/>
  <c r="N45" i="2"/>
  <c r="N42" i="2"/>
  <c r="N32" i="2"/>
  <c r="N36" i="2"/>
  <c r="N34" i="2"/>
  <c r="N26" i="2"/>
  <c r="N35" i="2"/>
  <c r="N43" i="2"/>
  <c r="N37" i="2"/>
  <c r="N16" i="2"/>
  <c r="K28" i="2"/>
  <c r="N25" i="2"/>
  <c r="O40" i="2"/>
  <c r="S40" i="2"/>
  <c r="P40" i="2"/>
  <c r="T40" i="2"/>
  <c r="K39" i="2"/>
  <c r="Q40" i="2"/>
  <c r="R40" i="2"/>
  <c r="K13" i="2"/>
  <c r="Q17" i="2"/>
  <c r="R17" i="2"/>
  <c r="T17" i="2"/>
  <c r="O17" i="2"/>
  <c r="S17" i="2"/>
  <c r="P17" i="2"/>
  <c r="N23" i="2"/>
  <c r="N24" i="2"/>
  <c r="P54" i="2"/>
  <c r="P49" i="2" s="1"/>
  <c r="T54" i="2"/>
  <c r="Q54" i="2"/>
  <c r="Q49" i="2" s="1"/>
  <c r="O54" i="2"/>
  <c r="O49" i="2" s="1"/>
  <c r="R54" i="2"/>
  <c r="R49" i="2" s="1"/>
  <c r="S54" i="2"/>
  <c r="S49" i="2" s="1"/>
  <c r="M38" i="2"/>
  <c r="H38" i="2"/>
  <c r="H11" i="2" s="1"/>
  <c r="L38" i="2"/>
  <c r="L11" i="2" s="1"/>
  <c r="I38" i="2"/>
  <c r="I11" i="2" s="1"/>
  <c r="G38" i="2"/>
  <c r="G11" i="2" s="1"/>
  <c r="N55" i="2"/>
  <c r="N54" i="2" s="1"/>
  <c r="N49" i="2" s="1"/>
  <c r="N30" i="2"/>
  <c r="J38" i="2"/>
  <c r="J11" i="2" s="1"/>
  <c r="U31" i="3" l="1"/>
  <c r="Q31" i="3"/>
  <c r="X31" i="3"/>
  <c r="T31" i="3"/>
  <c r="P31" i="3"/>
  <c r="W31" i="3"/>
  <c r="S31" i="3"/>
  <c r="O31" i="3"/>
  <c r="V31" i="3"/>
  <c r="Z31" i="3"/>
  <c r="N32" i="3"/>
  <c r="N31" i="3" s="1"/>
  <c r="L9" i="2"/>
  <c r="L8" i="2" s="1"/>
  <c r="L9" i="4"/>
  <c r="L8" i="4" s="1"/>
  <c r="K12" i="2"/>
  <c r="K11" i="2" s="1"/>
  <c r="P13" i="2"/>
  <c r="P12" i="2" s="1"/>
  <c r="T13" i="2"/>
  <c r="Q13" i="2"/>
  <c r="S13" i="2"/>
  <c r="R13" i="2"/>
  <c r="R12" i="2" s="1"/>
  <c r="P18" i="2"/>
  <c r="G9" i="4"/>
  <c r="G8" i="4" s="1"/>
  <c r="M9" i="2"/>
  <c r="M8" i="2" s="1"/>
  <c r="J9" i="4"/>
  <c r="J8" i="4" s="1"/>
  <c r="P25" i="3"/>
  <c r="T25" i="3"/>
  <c r="X25" i="3"/>
  <c r="Q25" i="3"/>
  <c r="U25" i="3"/>
  <c r="Y25" i="3"/>
  <c r="R25" i="3"/>
  <c r="Z25" i="3"/>
  <c r="V25" i="3"/>
  <c r="W25" i="3"/>
  <c r="S25" i="3"/>
  <c r="O25" i="3"/>
  <c r="H9" i="2"/>
  <c r="H8" i="2" s="1"/>
  <c r="J9" i="2"/>
  <c r="J8" i="2" s="1"/>
  <c r="T49" i="2"/>
  <c r="I9" i="4"/>
  <c r="I8" i="4" s="1"/>
  <c r="M9" i="4"/>
  <c r="M8" i="4" s="1"/>
  <c r="P12" i="3"/>
  <c r="T12" i="3"/>
  <c r="X12" i="3"/>
  <c r="Q12" i="3"/>
  <c r="U12" i="3"/>
  <c r="Y12" i="3"/>
  <c r="V12" i="3"/>
  <c r="Z12" i="3"/>
  <c r="S12" i="3"/>
  <c r="O12" i="3"/>
  <c r="W12" i="3"/>
  <c r="R12" i="3"/>
  <c r="I9" i="2"/>
  <c r="I8" i="2" s="1"/>
  <c r="K28" i="4"/>
  <c r="N51" i="4"/>
  <c r="N16" i="4"/>
  <c r="N45" i="4"/>
  <c r="N34" i="4"/>
  <c r="S18" i="2"/>
  <c r="Q18" i="2"/>
  <c r="T18" i="2"/>
  <c r="N47" i="4"/>
  <c r="N14" i="4"/>
  <c r="N13" i="4" s="1"/>
  <c r="K24" i="3"/>
  <c r="N22" i="2"/>
  <c r="N18" i="2" s="1"/>
  <c r="N26" i="3"/>
  <c r="N25" i="3" s="1"/>
  <c r="N29" i="2"/>
  <c r="N28" i="2" s="1"/>
  <c r="N17" i="2"/>
  <c r="N13" i="2" s="1"/>
  <c r="N12" i="2" s="1"/>
  <c r="N40" i="2"/>
  <c r="N39" i="2" s="1"/>
  <c r="G9" i="2"/>
  <c r="G8" i="2" s="1"/>
  <c r="Q12" i="2"/>
  <c r="T12" i="2"/>
  <c r="O13" i="2"/>
  <c r="O12" i="2" s="1"/>
  <c r="S12" i="2"/>
  <c r="Q39" i="2"/>
  <c r="R39" i="2"/>
  <c r="O39" i="2"/>
  <c r="S39" i="2"/>
  <c r="P39" i="2"/>
  <c r="T39" i="2"/>
  <c r="Q28" i="2"/>
  <c r="R28" i="2"/>
  <c r="O28" i="2"/>
  <c r="S28" i="2"/>
  <c r="T28" i="2"/>
  <c r="P28" i="2"/>
  <c r="K38" i="2"/>
  <c r="P39" i="1"/>
  <c r="R40" i="1"/>
  <c r="N40" i="1" s="1"/>
  <c r="P37" i="1"/>
  <c r="Q37" i="1" s="1"/>
  <c r="N37" i="1" s="1"/>
  <c r="M17" i="1"/>
  <c r="O17" i="1" s="1"/>
  <c r="N17" i="1" s="1"/>
  <c r="M16" i="1"/>
  <c r="O16" i="1" s="1"/>
  <c r="L23" i="1"/>
  <c r="M23" i="1"/>
  <c r="O23" i="1"/>
  <c r="P23" i="1"/>
  <c r="Q23" i="1"/>
  <c r="K23" i="1"/>
  <c r="K21" i="4" l="1"/>
  <c r="V11" i="4" s="1"/>
  <c r="O11" i="2"/>
  <c r="K9" i="2"/>
  <c r="K8" i="2" s="1"/>
  <c r="K11" i="3"/>
  <c r="P24" i="3"/>
  <c r="T24" i="3"/>
  <c r="X24" i="3"/>
  <c r="Q24" i="3"/>
  <c r="U24" i="3"/>
  <c r="Y24" i="3"/>
  <c r="V24" i="3"/>
  <c r="R24" i="3"/>
  <c r="S24" i="3"/>
  <c r="O24" i="3"/>
  <c r="W24" i="3"/>
  <c r="Z24" i="3"/>
  <c r="N16" i="1"/>
  <c r="U11" i="4"/>
  <c r="X11" i="4"/>
  <c r="N24" i="3"/>
  <c r="N11" i="3" s="1"/>
  <c r="N9" i="3" s="1"/>
  <c r="N8" i="3" s="1"/>
  <c r="O38" i="2"/>
  <c r="S38" i="2"/>
  <c r="S11" i="2" s="1"/>
  <c r="P38" i="2"/>
  <c r="P11" i="2" s="1"/>
  <c r="T38" i="2"/>
  <c r="T11" i="2" s="1"/>
  <c r="Q38" i="2"/>
  <c r="Q11" i="2" s="1"/>
  <c r="R38" i="2"/>
  <c r="R11" i="2" s="1"/>
  <c r="N38" i="2"/>
  <c r="N11" i="2" s="1"/>
  <c r="K16" i="1"/>
  <c r="H15" i="1"/>
  <c r="I15" i="1"/>
  <c r="L15" i="1"/>
  <c r="P15" i="1"/>
  <c r="Q15" i="1"/>
  <c r="R15" i="1"/>
  <c r="S15" i="1"/>
  <c r="G15" i="1"/>
  <c r="H20" i="1"/>
  <c r="J20" i="1"/>
  <c r="L20" i="1"/>
  <c r="M20" i="1"/>
  <c r="O20" i="1"/>
  <c r="R20" i="1"/>
  <c r="S20" i="1"/>
  <c r="G20" i="1"/>
  <c r="H26" i="1"/>
  <c r="I26" i="1"/>
  <c r="J26" i="1"/>
  <c r="L26" i="1"/>
  <c r="M26" i="1"/>
  <c r="P26" i="1"/>
  <c r="Q26" i="1"/>
  <c r="R26" i="1"/>
  <c r="S26" i="1"/>
  <c r="G26" i="1"/>
  <c r="H29" i="1"/>
  <c r="J29" i="1"/>
  <c r="L29" i="1"/>
  <c r="M29" i="1"/>
  <c r="G29" i="1"/>
  <c r="H42" i="1"/>
  <c r="I42" i="1"/>
  <c r="J42" i="1"/>
  <c r="L42" i="1"/>
  <c r="M42" i="1"/>
  <c r="O42" i="1"/>
  <c r="P42" i="1"/>
  <c r="Q42" i="1"/>
  <c r="S42" i="1"/>
  <c r="G42" i="1"/>
  <c r="H44" i="1"/>
  <c r="I44" i="1"/>
  <c r="J44" i="1"/>
  <c r="L44" i="1"/>
  <c r="M44" i="1"/>
  <c r="Q44" i="1"/>
  <c r="R44" i="1"/>
  <c r="S44" i="1"/>
  <c r="G44" i="1"/>
  <c r="H57" i="1"/>
  <c r="I57" i="1"/>
  <c r="J57" i="1"/>
  <c r="L57" i="1"/>
  <c r="M57" i="1"/>
  <c r="P57" i="1"/>
  <c r="Q57" i="1"/>
  <c r="R57" i="1"/>
  <c r="S57" i="1"/>
  <c r="G57" i="1"/>
  <c r="S66" i="1"/>
  <c r="H66" i="1"/>
  <c r="J66" i="1"/>
  <c r="L66" i="1"/>
  <c r="M66" i="1"/>
  <c r="O66" i="1"/>
  <c r="R66" i="1"/>
  <c r="G66" i="1"/>
  <c r="H71" i="1"/>
  <c r="I71" i="1"/>
  <c r="J71" i="1"/>
  <c r="L71" i="1"/>
  <c r="M71" i="1"/>
  <c r="O71" i="1"/>
  <c r="P71" i="1"/>
  <c r="Q71" i="1"/>
  <c r="S71" i="1"/>
  <c r="G71" i="1"/>
  <c r="G105" i="1"/>
  <c r="H77" i="1"/>
  <c r="I77" i="1"/>
  <c r="J77" i="1"/>
  <c r="L77" i="1"/>
  <c r="M77" i="1"/>
  <c r="O77" i="1"/>
  <c r="P77" i="1"/>
  <c r="Q77" i="1"/>
  <c r="G77" i="1"/>
  <c r="H81" i="1"/>
  <c r="I81" i="1"/>
  <c r="J81" i="1"/>
  <c r="L81" i="1"/>
  <c r="M81" i="1"/>
  <c r="O81" i="1"/>
  <c r="G81" i="1"/>
  <c r="H94" i="1"/>
  <c r="I94" i="1"/>
  <c r="J94" i="1"/>
  <c r="L94" i="1"/>
  <c r="M94" i="1"/>
  <c r="P94" i="1"/>
  <c r="Q94" i="1"/>
  <c r="G94" i="1"/>
  <c r="H102" i="1"/>
  <c r="I102" i="1"/>
  <c r="J102" i="1"/>
  <c r="L102" i="1"/>
  <c r="M102" i="1"/>
  <c r="P102" i="1"/>
  <c r="Q102" i="1"/>
  <c r="G102" i="1"/>
  <c r="L105" i="1"/>
  <c r="M105" i="1"/>
  <c r="O105" i="1"/>
  <c r="P105" i="1"/>
  <c r="Q105" i="1"/>
  <c r="R106" i="1"/>
  <c r="S106" i="1" s="1"/>
  <c r="K104" i="1"/>
  <c r="R104" i="1" s="1"/>
  <c r="K103" i="1"/>
  <c r="O103" i="1" s="1"/>
  <c r="K96" i="1"/>
  <c r="R96" i="1" s="1"/>
  <c r="K97" i="1"/>
  <c r="R97" i="1" s="1"/>
  <c r="K98" i="1"/>
  <c r="O98" i="1" s="1"/>
  <c r="K99" i="1"/>
  <c r="K100" i="1"/>
  <c r="O100" i="1" s="1"/>
  <c r="N100" i="1" s="1"/>
  <c r="K101" i="1"/>
  <c r="R101" i="1" s="1"/>
  <c r="K95" i="1"/>
  <c r="K83" i="1"/>
  <c r="R83" i="1" s="1"/>
  <c r="K84" i="1"/>
  <c r="R84" i="1" s="1"/>
  <c r="K85" i="1"/>
  <c r="K86" i="1"/>
  <c r="R86" i="1" s="1"/>
  <c r="K87" i="1"/>
  <c r="R87" i="1" s="1"/>
  <c r="K88" i="1"/>
  <c r="R88" i="1" s="1"/>
  <c r="K89" i="1"/>
  <c r="K90" i="1"/>
  <c r="K91" i="1"/>
  <c r="R91" i="1" s="1"/>
  <c r="K92" i="1"/>
  <c r="P92" i="1" s="1"/>
  <c r="K93" i="1"/>
  <c r="K82" i="1"/>
  <c r="R82" i="1" s="1"/>
  <c r="K79" i="1"/>
  <c r="K78" i="1"/>
  <c r="R78" i="1" s="1"/>
  <c r="K72" i="1"/>
  <c r="R72" i="1" s="1"/>
  <c r="N72" i="1" s="1"/>
  <c r="K73" i="1"/>
  <c r="R73" i="1" s="1"/>
  <c r="N73" i="1" s="1"/>
  <c r="K74" i="1"/>
  <c r="R74" i="1" s="1"/>
  <c r="N74" i="1" s="1"/>
  <c r="K75" i="1"/>
  <c r="R75" i="1" s="1"/>
  <c r="N75" i="1" s="1"/>
  <c r="K67" i="1"/>
  <c r="P67" i="1" s="1"/>
  <c r="K68" i="1"/>
  <c r="P68" i="1" s="1"/>
  <c r="K69" i="1"/>
  <c r="P69" i="1" s="1"/>
  <c r="K70" i="1"/>
  <c r="P70" i="1" s="1"/>
  <c r="I70" i="1"/>
  <c r="I69" i="1"/>
  <c r="I68" i="1"/>
  <c r="I67" i="1"/>
  <c r="K65" i="1"/>
  <c r="O65" i="1" s="1"/>
  <c r="N65" i="1" s="1"/>
  <c r="K62" i="1"/>
  <c r="O62" i="1" s="1"/>
  <c r="N62" i="1" s="1"/>
  <c r="K63" i="1"/>
  <c r="O63" i="1" s="1"/>
  <c r="N63" i="1" s="1"/>
  <c r="K64" i="1"/>
  <c r="O64" i="1" s="1"/>
  <c r="N64" i="1" s="1"/>
  <c r="K59" i="1"/>
  <c r="O59" i="1" s="1"/>
  <c r="N59" i="1" s="1"/>
  <c r="K60" i="1"/>
  <c r="O60" i="1" s="1"/>
  <c r="N60" i="1" s="1"/>
  <c r="K61" i="1"/>
  <c r="O61" i="1" s="1"/>
  <c r="N61" i="1" s="1"/>
  <c r="K58" i="1"/>
  <c r="O58" i="1" s="1"/>
  <c r="N58" i="1" s="1"/>
  <c r="K54" i="1"/>
  <c r="P54" i="1" s="1"/>
  <c r="N54" i="1" s="1"/>
  <c r="K53" i="1"/>
  <c r="P53" i="1" s="1"/>
  <c r="K51" i="1"/>
  <c r="O51" i="1" s="1"/>
  <c r="N51" i="1" s="1"/>
  <c r="K52" i="1"/>
  <c r="O52" i="1" s="1"/>
  <c r="N52" i="1" s="1"/>
  <c r="K50" i="1"/>
  <c r="O50" i="1" s="1"/>
  <c r="N50" i="1" s="1"/>
  <c r="K46" i="1"/>
  <c r="O46" i="1" s="1"/>
  <c r="N46" i="1" s="1"/>
  <c r="K47" i="1"/>
  <c r="O47" i="1" s="1"/>
  <c r="N47" i="1" s="1"/>
  <c r="K48" i="1"/>
  <c r="O48" i="1" s="1"/>
  <c r="N48" i="1" s="1"/>
  <c r="K49" i="1"/>
  <c r="O49" i="1" s="1"/>
  <c r="N49" i="1" s="1"/>
  <c r="K45" i="1"/>
  <c r="K43" i="1"/>
  <c r="K42" i="1" s="1"/>
  <c r="K40" i="1"/>
  <c r="Q39" i="1"/>
  <c r="N39" i="1" s="1"/>
  <c r="P38" i="1"/>
  <c r="P36" i="1"/>
  <c r="O35" i="1"/>
  <c r="N35" i="1" s="1"/>
  <c r="O33" i="1"/>
  <c r="N33" i="1" s="1"/>
  <c r="O32" i="1"/>
  <c r="N32" i="1" s="1"/>
  <c r="O31" i="1"/>
  <c r="N31" i="1" s="1"/>
  <c r="O30" i="1"/>
  <c r="N30" i="1" s="1"/>
  <c r="K39" i="1"/>
  <c r="K31" i="1"/>
  <c r="K32" i="1"/>
  <c r="K33" i="1"/>
  <c r="K34" i="1"/>
  <c r="R34" i="1" s="1"/>
  <c r="K35" i="1"/>
  <c r="K36" i="1"/>
  <c r="K37" i="1"/>
  <c r="K38" i="1"/>
  <c r="K30" i="1"/>
  <c r="I38" i="1"/>
  <c r="I37" i="1"/>
  <c r="O28" i="1"/>
  <c r="N28" i="1" s="1"/>
  <c r="K28" i="1"/>
  <c r="O27" i="1"/>
  <c r="N27" i="1" s="1"/>
  <c r="K27" i="1"/>
  <c r="P22" i="1"/>
  <c r="K22" i="1"/>
  <c r="K21" i="1"/>
  <c r="I21" i="1"/>
  <c r="I36" i="1" s="1"/>
  <c r="J19" i="1"/>
  <c r="M19" i="1" s="1"/>
  <c r="M18" i="1"/>
  <c r="O18" i="1" s="1"/>
  <c r="N18" i="1" s="1"/>
  <c r="K17" i="1"/>
  <c r="N28" i="4" l="1"/>
  <c r="N11" i="4" s="1"/>
  <c r="N9" i="4" s="1"/>
  <c r="N8" i="4" s="1"/>
  <c r="T11" i="4"/>
  <c r="W11" i="4"/>
  <c r="K11" i="4"/>
  <c r="R99" i="1"/>
  <c r="S99" i="1" s="1"/>
  <c r="N99" i="1" s="1"/>
  <c r="O45" i="1"/>
  <c r="N45" i="1" s="1"/>
  <c r="K44" i="1"/>
  <c r="K41" i="1" s="1"/>
  <c r="N9" i="2"/>
  <c r="N8" i="2" s="1"/>
  <c r="P9" i="2"/>
  <c r="P8" i="2" s="1"/>
  <c r="K9" i="3"/>
  <c r="P11" i="3"/>
  <c r="T11" i="3"/>
  <c r="X11" i="3"/>
  <c r="Q11" i="3"/>
  <c r="U11" i="3"/>
  <c r="Y11" i="3"/>
  <c r="R11" i="3"/>
  <c r="Z11" i="3"/>
  <c r="S11" i="3"/>
  <c r="V11" i="3"/>
  <c r="O11" i="3"/>
  <c r="W11" i="3"/>
  <c r="O9" i="2"/>
  <c r="O8" i="2" s="1"/>
  <c r="Q9" i="2"/>
  <c r="Q8" i="2" s="1"/>
  <c r="T9" i="2"/>
  <c r="T8" i="2" s="1"/>
  <c r="S9" i="2"/>
  <c r="S8" i="2" s="1"/>
  <c r="R9" i="2"/>
  <c r="R8" i="2" s="1"/>
  <c r="M15" i="1"/>
  <c r="M14" i="1" s="1"/>
  <c r="K9" i="4"/>
  <c r="Q41" i="1"/>
  <c r="N26" i="1"/>
  <c r="N57" i="1"/>
  <c r="N71" i="1"/>
  <c r="H56" i="1"/>
  <c r="L14" i="1"/>
  <c r="I80" i="1"/>
  <c r="I76" i="1" s="1"/>
  <c r="N21" i="1"/>
  <c r="Q38" i="1"/>
  <c r="N38" i="1" s="1"/>
  <c r="P44" i="1"/>
  <c r="P41" i="1" s="1"/>
  <c r="N53" i="1"/>
  <c r="N44" i="1" s="1"/>
  <c r="Q68" i="1"/>
  <c r="N68" i="1" s="1"/>
  <c r="S82" i="1"/>
  <c r="N82" i="1" s="1"/>
  <c r="O94" i="1"/>
  <c r="O80" i="1" s="1"/>
  <c r="N98" i="1"/>
  <c r="S104" i="1"/>
  <c r="S102" i="1" s="1"/>
  <c r="J15" i="1"/>
  <c r="J14" i="1" s="1"/>
  <c r="Q69" i="1"/>
  <c r="N69" i="1" s="1"/>
  <c r="O102" i="1"/>
  <c r="N103" i="1"/>
  <c r="S101" i="1"/>
  <c r="N101" i="1" s="1"/>
  <c r="S97" i="1"/>
  <c r="N97" i="1" s="1"/>
  <c r="S105" i="1"/>
  <c r="S41" i="1"/>
  <c r="J25" i="1"/>
  <c r="G14" i="1"/>
  <c r="S23" i="1"/>
  <c r="S14" i="1" s="1"/>
  <c r="N24" i="1"/>
  <c r="N23" i="1" s="1"/>
  <c r="Q36" i="1"/>
  <c r="N36" i="1" s="1"/>
  <c r="R14" i="1"/>
  <c r="Q22" i="1"/>
  <c r="Q20" i="1" s="1"/>
  <c r="Q14" i="1" s="1"/>
  <c r="Q70" i="1"/>
  <c r="N70" i="1" s="1"/>
  <c r="S78" i="1"/>
  <c r="N78" i="1" s="1"/>
  <c r="Q92" i="1"/>
  <c r="N92" i="1" s="1"/>
  <c r="S88" i="1"/>
  <c r="N88" i="1" s="1"/>
  <c r="S84" i="1"/>
  <c r="N84" i="1" s="1"/>
  <c r="S96" i="1"/>
  <c r="N96" i="1" s="1"/>
  <c r="H14" i="1"/>
  <c r="M80" i="1"/>
  <c r="L56" i="1"/>
  <c r="I41" i="1"/>
  <c r="O26" i="1"/>
  <c r="R102" i="1"/>
  <c r="M41" i="1"/>
  <c r="G56" i="1"/>
  <c r="G41" i="1"/>
  <c r="M25" i="1"/>
  <c r="H25" i="1"/>
  <c r="J80" i="1"/>
  <c r="J76" i="1" s="1"/>
  <c r="L41" i="1"/>
  <c r="S56" i="1"/>
  <c r="J41" i="1"/>
  <c r="I29" i="1"/>
  <c r="I25" i="1" s="1"/>
  <c r="H80" i="1"/>
  <c r="H76" i="1" s="1"/>
  <c r="M76" i="1"/>
  <c r="M56" i="1"/>
  <c r="L25" i="1"/>
  <c r="K29" i="1"/>
  <c r="J56" i="1"/>
  <c r="K26" i="1"/>
  <c r="O29" i="1"/>
  <c r="R43" i="1"/>
  <c r="O57" i="1"/>
  <c r="O56" i="1" s="1"/>
  <c r="I66" i="1"/>
  <c r="I56" i="1" s="1"/>
  <c r="G80" i="1"/>
  <c r="G76" i="1" s="1"/>
  <c r="G55" i="1" s="1"/>
  <c r="L80" i="1"/>
  <c r="L76" i="1" s="1"/>
  <c r="H41" i="1"/>
  <c r="G25" i="1"/>
  <c r="R71" i="1"/>
  <c r="R56" i="1" s="1"/>
  <c r="S34" i="1"/>
  <c r="S29" i="1" s="1"/>
  <c r="S25" i="1" s="1"/>
  <c r="R29" i="1"/>
  <c r="R25" i="1" s="1"/>
  <c r="P66" i="1"/>
  <c r="P56" i="1" s="1"/>
  <c r="O44" i="1"/>
  <c r="O41" i="1" s="1"/>
  <c r="K20" i="1"/>
  <c r="K105" i="1"/>
  <c r="K81" i="1"/>
  <c r="I20" i="1"/>
  <c r="I14" i="1" s="1"/>
  <c r="K57" i="1"/>
  <c r="P29" i="1"/>
  <c r="P25" i="1" s="1"/>
  <c r="K71" i="1"/>
  <c r="K66" i="1"/>
  <c r="K94" i="1"/>
  <c r="R105" i="1"/>
  <c r="K102" i="1"/>
  <c r="K77" i="1"/>
  <c r="P20" i="1"/>
  <c r="P14" i="1" s="1"/>
  <c r="R89" i="1"/>
  <c r="R95" i="1"/>
  <c r="S86" i="1"/>
  <c r="N86" i="1" s="1"/>
  <c r="R90" i="1"/>
  <c r="R85" i="1"/>
  <c r="P93" i="1"/>
  <c r="Q67" i="1"/>
  <c r="R79" i="1"/>
  <c r="S91" i="1"/>
  <c r="N91" i="1" s="1"/>
  <c r="S87" i="1"/>
  <c r="N87" i="1" s="1"/>
  <c r="S83" i="1"/>
  <c r="N83" i="1" s="1"/>
  <c r="K18" i="1"/>
  <c r="S9" i="4" l="1"/>
  <c r="R9" i="4"/>
  <c r="R11" i="4"/>
  <c r="S11" i="4"/>
  <c r="G13" i="1"/>
  <c r="G10" i="1" s="1"/>
  <c r="G9" i="1" s="1"/>
  <c r="P9" i="3"/>
  <c r="T9" i="3"/>
  <c r="X9" i="3"/>
  <c r="Q9" i="3"/>
  <c r="U9" i="3"/>
  <c r="Y9" i="3"/>
  <c r="K8" i="3"/>
  <c r="V9" i="3"/>
  <c r="R9" i="3"/>
  <c r="O9" i="3"/>
  <c r="W9" i="3"/>
  <c r="Z9" i="3"/>
  <c r="S9" i="3"/>
  <c r="H55" i="1"/>
  <c r="H13" i="1" s="1"/>
  <c r="N104" i="1"/>
  <c r="N102" i="1" s="1"/>
  <c r="K8" i="4"/>
  <c r="T9" i="4"/>
  <c r="X9" i="4"/>
  <c r="U9" i="4"/>
  <c r="V9" i="4"/>
  <c r="W9" i="4"/>
  <c r="Q66" i="1"/>
  <c r="Q56" i="1" s="1"/>
  <c r="L55" i="1"/>
  <c r="L13" i="1" s="1"/>
  <c r="Q29" i="1"/>
  <c r="Q25" i="1" s="1"/>
  <c r="I55" i="1"/>
  <c r="I13" i="1" s="1"/>
  <c r="O76" i="1"/>
  <c r="O55" i="1" s="1"/>
  <c r="O25" i="1"/>
  <c r="N22" i="1"/>
  <c r="N20" i="1" s="1"/>
  <c r="R42" i="1"/>
  <c r="R41" i="1" s="1"/>
  <c r="N43" i="1"/>
  <c r="N42" i="1" s="1"/>
  <c r="N41" i="1" s="1"/>
  <c r="N67" i="1"/>
  <c r="N66" i="1" s="1"/>
  <c r="N56" i="1" s="1"/>
  <c r="P81" i="1"/>
  <c r="P80" i="1" s="1"/>
  <c r="P76" i="1" s="1"/>
  <c r="P55" i="1" s="1"/>
  <c r="P13" i="1" s="1"/>
  <c r="S90" i="1"/>
  <c r="N90" i="1" s="1"/>
  <c r="R77" i="1"/>
  <c r="S85" i="1"/>
  <c r="S89" i="1"/>
  <c r="N89" i="1" s="1"/>
  <c r="N34" i="1"/>
  <c r="N29" i="1" s="1"/>
  <c r="N25" i="1" s="1"/>
  <c r="N106" i="1"/>
  <c r="N105" i="1" s="1"/>
  <c r="K25" i="1"/>
  <c r="M55" i="1"/>
  <c r="M13" i="1" s="1"/>
  <c r="K80" i="1"/>
  <c r="K76" i="1" s="1"/>
  <c r="J55" i="1"/>
  <c r="J13" i="1" s="1"/>
  <c r="S79" i="1"/>
  <c r="S77" i="1" s="1"/>
  <c r="Q93" i="1"/>
  <c r="Q81" i="1" s="1"/>
  <c r="Q80" i="1" s="1"/>
  <c r="Q76" i="1" s="1"/>
  <c r="K56" i="1"/>
  <c r="S95" i="1"/>
  <c r="S94" i="1" s="1"/>
  <c r="R94" i="1"/>
  <c r="R81" i="1"/>
  <c r="K19" i="1"/>
  <c r="K15" i="1" s="1"/>
  <c r="K14" i="1" s="1"/>
  <c r="O19" i="1"/>
  <c r="S8" i="4" l="1"/>
  <c r="R8" i="4"/>
  <c r="I10" i="1"/>
  <c r="I9" i="1" s="1"/>
  <c r="P10" i="1"/>
  <c r="P9" i="1" s="1"/>
  <c r="M10" i="1"/>
  <c r="M9" i="1" s="1"/>
  <c r="J10" i="1"/>
  <c r="J9" i="1" s="1"/>
  <c r="L10" i="1"/>
  <c r="L9" i="1" s="1"/>
  <c r="Y8" i="3"/>
  <c r="U8" i="3"/>
  <c r="Q8" i="3"/>
  <c r="X8" i="3"/>
  <c r="T8" i="3"/>
  <c r="P8" i="3"/>
  <c r="W8" i="3"/>
  <c r="O8" i="3"/>
  <c r="Z8" i="3"/>
  <c r="V8" i="3"/>
  <c r="S8" i="3"/>
  <c r="R8" i="3"/>
  <c r="Y14" i="2"/>
  <c r="H10" i="1"/>
  <c r="H9" i="1" s="1"/>
  <c r="Q55" i="1"/>
  <c r="Q13" i="1" s="1"/>
  <c r="W8" i="4"/>
  <c r="V8" i="4"/>
  <c r="X8" i="4"/>
  <c r="U8" i="4"/>
  <c r="T8" i="4"/>
  <c r="S81" i="1"/>
  <c r="S80" i="1" s="1"/>
  <c r="S76" i="1" s="1"/>
  <c r="S55" i="1" s="1"/>
  <c r="S13" i="1" s="1"/>
  <c r="N93" i="1"/>
  <c r="N85" i="1"/>
  <c r="O15" i="1"/>
  <c r="N19" i="1"/>
  <c r="N15" i="1" s="1"/>
  <c r="N14" i="1" s="1"/>
  <c r="N79" i="1"/>
  <c r="N77" i="1" s="1"/>
  <c r="N95" i="1"/>
  <c r="N94" i="1" s="1"/>
  <c r="R80" i="1"/>
  <c r="R76" i="1" s="1"/>
  <c r="R55" i="1" s="1"/>
  <c r="R13" i="1" s="1"/>
  <c r="K55" i="1"/>
  <c r="K13" i="1" s="1"/>
  <c r="K10" i="1" l="1"/>
  <c r="K9" i="1" s="1"/>
  <c r="Q10" i="1"/>
  <c r="Q9" i="1" s="1"/>
  <c r="S10" i="1"/>
  <c r="S9" i="1" s="1"/>
  <c r="R10" i="1"/>
  <c r="R9" i="1" s="1"/>
  <c r="N81" i="1"/>
  <c r="N80" i="1" s="1"/>
  <c r="N76" i="1" s="1"/>
  <c r="N55" i="1" s="1"/>
  <c r="N13" i="1" s="1"/>
  <c r="O14" i="1"/>
  <c r="O13" i="1" s="1"/>
  <c r="N10" i="1" l="1"/>
  <c r="N9" i="1" s="1"/>
  <c r="O10" i="1"/>
  <c r="O9" i="1" s="1"/>
</calcChain>
</file>

<file path=xl/sharedStrings.xml><?xml version="1.0" encoding="utf-8"?>
<sst xmlns="http://schemas.openxmlformats.org/spreadsheetml/2006/main" count="1516" uniqueCount="335">
  <si>
    <t xml:space="preserve">STT
</t>
  </si>
  <si>
    <t>Địa điểm xây dựng</t>
  </si>
  <si>
    <t>Năng lực thiết kế</t>
  </si>
  <si>
    <t>Thời gian KC-HT</t>
  </si>
  <si>
    <t>Quyết định đầu tư ban đầu hoặc điều chỉnh</t>
  </si>
  <si>
    <t>Lũy kế vốn đã bố trí đến nay</t>
  </si>
  <si>
    <t>Vốn kế hoạch</t>
  </si>
  <si>
    <t>Chủ đầu tư</t>
  </si>
  <si>
    <t>Ghi chú</t>
  </si>
  <si>
    <t>Số quyết định, ngày tháng năm</t>
  </si>
  <si>
    <t>TMĐT</t>
  </si>
  <si>
    <t>Tổng số</t>
  </si>
  <si>
    <t xml:space="preserve">Trong đó: </t>
  </si>
  <si>
    <t>Trong đó: Dân góp</t>
  </si>
  <si>
    <t xml:space="preserve">Vốn kế hoạch năm trước được phép kéo dài </t>
  </si>
  <si>
    <t>Vốn kế hoạch năm</t>
  </si>
  <si>
    <t>11=12+13</t>
  </si>
  <si>
    <t>14=15+16</t>
  </si>
  <si>
    <t>BIỂU KẾ HOẠCH TRIỂN KHAI THỰC HIỆN NGUỒN VỐN ĐẦU TƯ CÔNG NĂM 2024, HUYỆN BẮC SƠN, TỈNH LẠNG SƠN</t>
  </si>
  <si>
    <t>Nội dung/tên dự án</t>
  </si>
  <si>
    <t xml:space="preserve">Quyết toán hoặc khối lượng thực hiện </t>
  </si>
  <si>
    <t>DA hoàn thành đến 31/12/2023 (đến 30/6/2024 giải ngân 100%)</t>
  </si>
  <si>
    <t xml:space="preserve">Thanh toán kế hoạch vốn </t>
  </si>
  <si>
    <t>(1) Đối với nhóm dựán hoàn thành đến ngày 31/12/2023: giải ngân 100% kếhoạch vốn đến hết ngày 30/6/2024.  (2) Đối với  nhóm  dựán  chuyển  tiếp:  giải ngân  tối  thiểu  70%  kếhoạch  vốn đến  hết ngày 30/9/2024; giải  ngân  100%  kếhoạch vốn đến hết ngày 31/12/2024.(3) Đối với nhóm dựán khởi công mới năm 2024: khởi công chậm nhất trong tháng 6/2024 và giải ngân đến hết ngày 30/9/2024 đạt tối thiểu 40% kếhoạch vốn; giải ngân 100% kếhoạch vốn đến hết ngày 31/12/2024. (4) Đối  với  các  dựán được  bốtrí  thực  hiện  công  tác  chuẩn  bịđầu tư (chủtrương đầu tư) trong năm 2024: hoàn  thành  hồsơ trình thẩm định phê duyệt  chủtrương chậm  nhất  trong  tháng  6/2024,  trình  thẩm định  phê  duyệt  dựán chậm nhất trong tháng 10/2024.</t>
  </si>
  <si>
    <t>Dự án chuyển tiếp</t>
  </si>
  <si>
    <t>Đến 30/9/2024 giải ngân 70%</t>
  </si>
  <si>
    <t>Đến 31/12/2024 giải ngân 100%</t>
  </si>
  <si>
    <t>Dự án khởi công mới</t>
  </si>
  <si>
    <t>Đến 30/9/2024 giải ngân 40%</t>
  </si>
  <si>
    <t>*</t>
  </si>
  <si>
    <t>VỐN ĐẦU TƯ CÔNG</t>
  </si>
  <si>
    <t>A</t>
  </si>
  <si>
    <t>VỐN CẤP TỈNH QUẢN LÝ</t>
  </si>
  <si>
    <t>I</t>
  </si>
  <si>
    <t>Ngân sách Trung ương hỗ trợ</t>
  </si>
  <si>
    <t>Dự án thành phần 10: Dự án đầu tư xây dựng, cải tạo Trạm Y tế tuyến xã trên địa bàn huyện Bắc Sơn</t>
  </si>
  <si>
    <t>B</t>
  </si>
  <si>
    <t>VỐN CẤP HUYỆN QUẢN LÝ</t>
  </si>
  <si>
    <t>VỐN NGHỊ QUYẾT 16/2021/NQ-HĐND</t>
  </si>
  <si>
    <t>B1</t>
  </si>
  <si>
    <t>Đầu tư xây dựng các hạng mục phụ trợ UBND xã Vạn Thủy</t>
  </si>
  <si>
    <t>xã Vạn Thủy</t>
  </si>
  <si>
    <t xml:space="preserve"> nhà  02 tầng340,9m2 và sân BT 75m2</t>
  </si>
  <si>
    <t>2019-2020</t>
  </si>
  <si>
    <t>3556/QĐ-UBND, 16/10/2019</t>
  </si>
  <si>
    <t>Ban QLDA ĐTXD huyện</t>
  </si>
  <si>
    <t xml:space="preserve">Trụ sở UBND xã Chiến Thắng </t>
  </si>
  <si>
    <t>xã Chiến Thắng</t>
  </si>
  <si>
    <t>Nhà 02 tầng</t>
  </si>
  <si>
    <t>2021-2022</t>
  </si>
  <si>
    <t>3478/QĐ-UBND ngày 01/9/2021</t>
  </si>
  <si>
    <t xml:space="preserve">Trụ sở UBND xã Vũ Lăng </t>
  </si>
  <si>
    <t>xã Vũ Lăng</t>
  </si>
  <si>
    <t>3479/QĐ-UBND ngày 01/9/2021</t>
  </si>
  <si>
    <t>Xây dựng Trạm y tế xã Chiêu Vũ</t>
  </si>
  <si>
    <t>Xã Chiêu Vũ</t>
  </si>
  <si>
    <t>09 phòng</t>
  </si>
  <si>
    <t>2021-2025</t>
  </si>
  <si>
    <t>1175 ngày 16/6/2021</t>
  </si>
  <si>
    <t>Trụ sở UBND thị trấn Bắc Sơn</t>
  </si>
  <si>
    <t>thị trấn Bắc Sơn</t>
  </si>
  <si>
    <t>2022-2023</t>
  </si>
  <si>
    <t>Trường Tiểu học xã Bắc Quỳnh</t>
  </si>
  <si>
    <t>xã Bắc Quỳnh</t>
  </si>
  <si>
    <t>Nhà cấp III (nâng thêm tầng)</t>
  </si>
  <si>
    <t>2361/QĐ-UBND ngày 01/7/2022</t>
  </si>
  <si>
    <t>3004/QĐ-UBND ngày 05/9/2022</t>
  </si>
  <si>
    <t>B2</t>
  </si>
  <si>
    <t>NGUỒN THU TIỀN SỬ DỤNG ĐẤT NĂM 2024</t>
  </si>
  <si>
    <t>Xây dựng cơ sở dữ liệu về đất đai</t>
  </si>
  <si>
    <t>Chuyển đổi hệ tọa độ, đo đạc chỉnh lý bản đồ địa chính, lập hồ sơ địa chính, cấp giấy chứng nhận quyền sử dụng đất và xây dựng cơ sở dữ liệu địa chính thị trấn Bắc Sơn, huyện Bắc Sơn, tỉnh Lạng Sơn</t>
  </si>
  <si>
    <t>Cơ sở dữ liệu địa chính</t>
  </si>
  <si>
    <t>417/QD-UBND ngày 10/3/2021</t>
  </si>
  <si>
    <t>Phòng TNMT huyện</t>
  </si>
  <si>
    <t>Lập Kế hoạch sử dụng đất năm 2024</t>
  </si>
  <si>
    <t>Trên địa bàn huyện</t>
  </si>
  <si>
    <t>3372/QĐ-UBND ngày 11/9/2023</t>
  </si>
  <si>
    <t>Các nhiệm vụ chi theo thực tế</t>
  </si>
  <si>
    <t>Cải tạo, nâng cấp sân trụ sở Huyện Ủy, sân HĐND&amp;UBND huyện và mặt sân vận động trung tâm huyện</t>
  </si>
  <si>
    <t>Thị trấn Bắc Sơn</t>
  </si>
  <si>
    <t>Thảm BTN</t>
  </si>
  <si>
    <t xml:space="preserve">3339/QĐ-UBND ngày 05/10/2020 </t>
  </si>
  <si>
    <t>Cải tạo khu nhà làm việc khối liên cơ quan</t>
  </si>
  <si>
    <t>Cải tạo Sân</t>
  </si>
  <si>
    <t xml:space="preserve">3998, ngày 21/10/2021 </t>
  </si>
  <si>
    <t>Cải tạo trụ sở UBND xã Vũ Lễ</t>
  </si>
  <si>
    <t>xã Vũ Lễ</t>
  </si>
  <si>
    <t>Cải tạo, nâng cấp</t>
  </si>
  <si>
    <t xml:space="preserve">3865/QĐ-UBND ngày 08/10/2021 </t>
  </si>
  <si>
    <t>Cải tạo Trường THCS xã Tân Lập</t>
  </si>
  <si>
    <t>xã Tân Lập</t>
  </si>
  <si>
    <t>Cải tạo</t>
  </si>
  <si>
    <t>3873/QĐ-UBND ngày 12/10/2021</t>
  </si>
  <si>
    <t>Trụ sở Huyện Ủy Bắc Sơn, tỉnh Lạng Sơn</t>
  </si>
  <si>
    <t>Nhà 05 tầng</t>
  </si>
  <si>
    <t>2024-2026</t>
  </si>
  <si>
    <t>1475/QĐ-UBND ngày 18/9/2023</t>
  </si>
  <si>
    <t>Cải tạo, sửa chữa nhà làm việc UBND xã Bắc Quỳnh</t>
  </si>
  <si>
    <t xml:space="preserve">xã Bắc Quỳnh </t>
  </si>
  <si>
    <t>3480/QĐ-UBND ngày 21/10/2022</t>
  </si>
  <si>
    <t xml:space="preserve">3004/QĐ-UBND ngày 05/9/2022 </t>
  </si>
  <si>
    <t>Cải tạo, nâng cấp trường Tiểu học xã Vũ Sơn</t>
  </si>
  <si>
    <t>xã Vũ Sơn</t>
  </si>
  <si>
    <t>Đạt chuẩn</t>
  </si>
  <si>
    <t>3180/QĐ-UBND ngày 18/8/2023</t>
  </si>
  <si>
    <t>Cải tạo, nâng cấp trường Mầm non xã Đồng Ý</t>
  </si>
  <si>
    <t>Xã Đồng Ý</t>
  </si>
  <si>
    <t>3127/QĐ-UBND ngày 21/8/2023</t>
  </si>
  <si>
    <t>xã Tân Thành</t>
  </si>
  <si>
    <t>1726/QĐ-UBND ngày 12/7/2023</t>
  </si>
  <si>
    <t>5 xã</t>
  </si>
  <si>
    <t>B3</t>
  </si>
  <si>
    <t>NGUỒN TĂNG THU NĂM 2024</t>
  </si>
  <si>
    <t>Xây dựng cơ sở dữu liệu về đất đai</t>
  </si>
  <si>
    <t>Kiểm kê đất đai năm 2024</t>
  </si>
  <si>
    <t>toàn huyện</t>
  </si>
  <si>
    <t>đất đai</t>
  </si>
  <si>
    <t>2024-2025</t>
  </si>
  <si>
    <t>Sửa chữa các hạng mục phụ trợ trụ sở UBND huyện Bắc Sơn</t>
  </si>
  <si>
    <t>sửa chữa</t>
  </si>
  <si>
    <t>505/QĐ-UBND ngày 22/02/2022</t>
  </si>
  <si>
    <t>Sửa chữa nhà làm việc khối dân vận</t>
  </si>
  <si>
    <t>Nhà vệ sinh phòng Văn hóa và Thông tin</t>
  </si>
  <si>
    <t>Xây mới</t>
  </si>
  <si>
    <t xml:space="preserve">1014/QĐ-UBND ngày 22/4/2022 </t>
  </si>
  <si>
    <t>Dự án lắp đặt màn hình Led trong hội trường TTHC huyện</t>
  </si>
  <si>
    <t>Màn hình Led</t>
  </si>
  <si>
    <t>2785/QĐ-UBND ngày 4/8/2020</t>
  </si>
  <si>
    <t>Chiêu Vũ</t>
  </si>
  <si>
    <t>Trường TH&amp;THCS  xã Chiêu Vũ</t>
  </si>
  <si>
    <t>xã Chiêu Vũ</t>
  </si>
  <si>
    <t>3086/QĐ-UBND ngày 13/9/2022</t>
  </si>
  <si>
    <t>Nâng cấp nhà làm việc UBND xã Chiêu Vũ</t>
  </si>
  <si>
    <t>3239/QĐ-UBND ngày 22/9/2023</t>
  </si>
  <si>
    <t>Trường THCS xã Bắc Quỳnh</t>
  </si>
  <si>
    <t>3308/QĐ-UBND ngày 7/10/2022</t>
  </si>
  <si>
    <t>Mở rộng, nâng cấp Bảo tàng Khởi nghĩa Bắc Sơn</t>
  </si>
  <si>
    <t>xã Long Đống</t>
  </si>
  <si>
    <t>Cải tạo, nâng cấp các hạng mục</t>
  </si>
  <si>
    <t>2023-2024</t>
  </si>
  <si>
    <t>Cải tạo, nâng cấp Trụ sở Công an huyện Bắc Sơn</t>
  </si>
  <si>
    <t>Các hạng mục phụ trợ</t>
  </si>
  <si>
    <t>4620/QĐ-UBND ngày 29/12/2023</t>
  </si>
  <si>
    <t>1158/QĐ-UBND ngày 28/4/2023</t>
  </si>
  <si>
    <t>B4</t>
  </si>
  <si>
    <t>VỐN CHƯƠNG TRÌNH MỤC TIÊU QUỐC GIA</t>
  </si>
  <si>
    <t>-</t>
  </si>
  <si>
    <t>+</t>
  </si>
  <si>
    <t>Trường Mầm non xã Vũ lăng</t>
  </si>
  <si>
    <t>số 1067/QĐ-UBND ngày 06/5/2022</t>
  </si>
  <si>
    <t>Trường tiểu học 1 xã Vũ Lăng</t>
  </si>
  <si>
    <t>số 1101/QĐ-UBND ngày 12/5/2022</t>
  </si>
  <si>
    <t>Trường tiểu học 2 xã Vũ Lăng</t>
  </si>
  <si>
    <t>số 1136/QĐ-UBND ngày 18/5/2022</t>
  </si>
  <si>
    <t>Trường THCS xã Vũ lăng</t>
  </si>
  <si>
    <t>số 1068/QĐ-UBND ngày 06/5/2022</t>
  </si>
  <si>
    <t>Nhà văn hóa xã Vũ lăng</t>
  </si>
  <si>
    <t>số 1122/QĐ-UBND ngày 13/5/2022</t>
  </si>
  <si>
    <t>Đường giao thông Làng Dọc - Liên Lạc xã Vũ Lăng</t>
  </si>
  <si>
    <t>số 1002/QĐ-UBND ngày 21/4/2022</t>
  </si>
  <si>
    <t>Đường giao thông Thanh Yên 1 - Bảo Thanh - Bản Luông xã Vũ Lăng (đấu nối Km11/ĐH.78)</t>
  </si>
  <si>
    <t>số 794/QĐ-UBND ngày 01/4/2022</t>
  </si>
  <si>
    <t>Nhà Văn hóa xã Tân Hương</t>
  </si>
  <si>
    <t>xã Tân Hương</t>
  </si>
  <si>
    <t>Số 3667/QĐ-UBND ngày 14/11/2022</t>
  </si>
  <si>
    <t>Trường Mầm Non xã Long Đống</t>
  </si>
  <si>
    <t>Xã Long Đống</t>
  </si>
  <si>
    <t>Số 1283/QĐ-UBND ngày 16/5/2023</t>
  </si>
  <si>
    <t xml:space="preserve"> Nhà Văn hóa xã Long Đống</t>
  </si>
  <si>
    <t>Số 919/QĐ-UBND ngày 30/3/2023</t>
  </si>
  <si>
    <t>Trường Tiểu học xã Long Đống</t>
  </si>
  <si>
    <t>Số 969/QĐ-UBND ngày 11/4/2023</t>
  </si>
  <si>
    <t>Trường THCS xã Long Đống</t>
  </si>
  <si>
    <t>Số 947/QĐ-UBND ngày 4/4/2023</t>
  </si>
  <si>
    <t>Nhà Văn hóa xã Tân  Thành</t>
  </si>
  <si>
    <t xml:space="preserve"> Nhà Văn hóa xã Nhất Hòa</t>
  </si>
  <si>
    <t>xã Nhất Hòa</t>
  </si>
  <si>
    <t xml:space="preserve"> Trường Mầm non xã Nhất Hòa</t>
  </si>
  <si>
    <t xml:space="preserve"> Trường Tiểu học xã Nhất Hòa</t>
  </si>
  <si>
    <t>Dự án 1: Giải quyết tình trạng thiếu đất ở, nhà ở, đất sản xuất, nước sinh hoạt</t>
  </si>
  <si>
    <t>Cấp nước sinh hoạt xã Vạn Thuỷ</t>
  </si>
  <si>
    <t>Xã Vạn Thuỷ</t>
  </si>
  <si>
    <t>Cấp nước sinh hoạt Tân Hương</t>
  </si>
  <si>
    <t>Dự án 4: Đầu tư cơ sở hạ tầng thiết yếu, phục vụ sản xuất, đời sống trong vùng đồng bào dân tộc thiểu số và miền núi và các đơn vị sự nghiệp công của lĩnh vực dân tộc</t>
  </si>
  <si>
    <t>xã Đặc biệt khó khăn</t>
  </si>
  <si>
    <t>Đường giao thông thôn Dộc Máy; thôn Nà Gá  xã Nhất Hòa</t>
  </si>
  <si>
    <t xml:space="preserve"> Trường Mầm non xã Nhất Hòa </t>
  </si>
  <si>
    <t xml:space="preserve">  Trường Tiểu học xã Nhất Hòa</t>
  </si>
  <si>
    <t>Đường giao thông vào khu di tích nà kheo xã Tân Hương</t>
  </si>
  <si>
    <t>Mương Cốc Muồng thôn Nam Hương 2 xã Tân Hương</t>
  </si>
  <si>
    <t>Mương thủy lợi thôn Cầu Hin xã Tân Hương</t>
  </si>
  <si>
    <t>Đường giao thông thôn Cầu Hin xã Tân Hương</t>
  </si>
  <si>
    <t>Đường bê tông Lân Cấm xã Trấn Yển</t>
  </si>
  <si>
    <t>xã Trấn Yên</t>
  </si>
  <si>
    <t>Trường Tiểu học và Trung học cơ sở xã Tân Thành</t>
  </si>
  <si>
    <t>Trường Mầm Non xã Tân Thành</t>
  </si>
  <si>
    <t>Đường giao thông xã Nà Thí - Bản Khuông xã Vạn Thủy</t>
  </si>
  <si>
    <t>Đường giao thông từ Cầu Suối Nay - Ngã 3 suối cạn xã Tân  Tri</t>
  </si>
  <si>
    <t>xã Tân Tri</t>
  </si>
  <si>
    <t>Thôn đặc biệt khó khăn</t>
  </si>
  <si>
    <t>Mương thôn Tân Kỳ xã Chiêu Vũ</t>
  </si>
  <si>
    <t>Đường giao thông thôn Rạ Lá xã Long Đống</t>
  </si>
  <si>
    <t>Đường giao thông Bản Luông -Thâm Dầu - Kéo Coi  xã Vũ Lăng (tiếp)</t>
  </si>
  <si>
    <t>Đường giao thông Nà Niệc - Ao Nai  xã Nhất Tiến</t>
  </si>
  <si>
    <t>xã Nhất Tiến</t>
  </si>
  <si>
    <t>Cầu Ngầm Cô Kê thôn Tiến Hậu xã Nhất Tiến</t>
  </si>
  <si>
    <t>Đường giao thông Lân Kẽm - Thống Nhất xã Vũ Lễ (tiếp)</t>
  </si>
  <si>
    <t>Đường giao thông xóm Nà Riến, thôn Nà Cái, xã Tân Lập (tiếp)</t>
  </si>
  <si>
    <t>Dự án 5: Phát triển giáo dục đào tạo nâng cao chất lượng nguồn nhân lực</t>
  </si>
  <si>
    <t>Trường Tiểu học và THCS xã Tân Thành xã Tân Thành</t>
  </si>
  <si>
    <t>Trường THCS xã Tân Tri</t>
  </si>
  <si>
    <t>Dự án 6: Bảo tồn, phát huy giá trị văn hóa truyền thống tốt đẹp của các dân tộc thiểu số gắn với phát triển du lịch</t>
  </si>
  <si>
    <t>Nhà văn hóa thôn Mỹ Hòa xã Nhất Hòa</t>
  </si>
  <si>
    <t>xã Nhất Hoà</t>
  </si>
  <si>
    <t>Đường GTNT cấp IV</t>
  </si>
  <si>
    <t>Nước sạch</t>
  </si>
  <si>
    <t>Thuỷ lợi</t>
  </si>
  <si>
    <t>Ngầm tràn</t>
  </si>
  <si>
    <t>Phòng VHTT</t>
  </si>
  <si>
    <t>UBND xã Vạn Thủy</t>
  </si>
  <si>
    <t>UBND xã Tân Hương</t>
  </si>
  <si>
    <t>UBND xã Nhất Hòa</t>
  </si>
  <si>
    <t>UBND xã Chiêu Vũ</t>
  </si>
  <si>
    <t>UBND xã Vũ Lăng</t>
  </si>
  <si>
    <t>UBND xã Vũ Lễ</t>
  </si>
  <si>
    <t>UBND xã Tân Lập</t>
  </si>
  <si>
    <t xml:space="preserve">VỐN ĐẦU TƯ PHÁT TRIỂN CHƯƠNG TRÌNH MTQG XÂY DỰNG NÔNG THÔN MỚI </t>
  </si>
  <si>
    <t xml:space="preserve">VỐN ĐẦU TƯ PHÁT TRIỂN CHƯƠNG TRÌNH MTQG ĐBDTTS&amp;MN </t>
  </si>
  <si>
    <t>Dự án hoàn thành, bàn giao, đưa vào sử dụng đến ngày 31/12/2023</t>
  </si>
  <si>
    <t>Hỗ trợ xi măng làm GTNT  (tối thiếu 25%) và xi măng thuỷ lợi</t>
  </si>
  <si>
    <t>Xi măng làm đường giao thông nông thôn</t>
  </si>
  <si>
    <t>các xã</t>
  </si>
  <si>
    <t>BTXM</t>
  </si>
  <si>
    <t>HT</t>
  </si>
  <si>
    <t>CT</t>
  </si>
  <si>
    <t>KCM</t>
  </si>
  <si>
    <t>Các dự án hoàn thành và đưa vào sử dụng trước ngày 31/12/2023</t>
  </si>
  <si>
    <t xml:space="preserve">vốn đầu tư phát triển chương trình mtqg xây dựng nông thôn mới </t>
  </si>
  <si>
    <t>TỔNG CỘNG:</t>
  </si>
  <si>
    <t>Đến 30/11/2024 giải ngân 100%</t>
  </si>
  <si>
    <t>Đến 30/6/2024 giải ngân 100%</t>
  </si>
  <si>
    <t>Đến 30/5/2024 giải ngân 80%</t>
  </si>
  <si>
    <t>Đến 30/1/2024 giải ngân 10%</t>
  </si>
  <si>
    <t>Đến 30/2/2024 giải ngân 20%</t>
  </si>
  <si>
    <t>Đến 30/3/2024 giải ngân 30%</t>
  </si>
  <si>
    <t>Đến 30/4/2024 giải ngân 50%</t>
  </si>
  <si>
    <t xml:space="preserve">Nhóm dự án chuyển tiếp </t>
  </si>
  <si>
    <t>Đến 30/6/2024 giải ngân 40%</t>
  </si>
  <si>
    <t>Đến 30/5/2024 giải ngân 35%</t>
  </si>
  <si>
    <t>Đến 30/4/2024 giải ngân 30%</t>
  </si>
  <si>
    <t>Đến 30/3/2024 giải ngân 25%</t>
  </si>
  <si>
    <t>Đến 30/12/2024 giải ngân 100%</t>
  </si>
  <si>
    <t>Đến 30/11/2024 giải ngân 90%</t>
  </si>
  <si>
    <t>Đến 30/10/2024 giải ngân 80%</t>
  </si>
  <si>
    <t>Đến 30/8/2024 giải ngân 60%</t>
  </si>
  <si>
    <t>Đến 30/7/2024 giải ngân 50%</t>
  </si>
  <si>
    <t>14=15+16…+26</t>
  </si>
  <si>
    <t>Nhóm dự án khởi công mới</t>
  </si>
  <si>
    <t>Đến 30/11/2024 giải ngân 60%</t>
  </si>
  <si>
    <t>Cấp nước sinh hoạt xã Trấn Yên</t>
  </si>
  <si>
    <t>Cấp nước sinh hoạt thôn Lân Kẽm xã Vũ Lễ</t>
  </si>
  <si>
    <t>Cấp nước sinh hoạt  xã Vũ Sơn</t>
  </si>
  <si>
    <t>Xã Đặc biệt khó khăn</t>
  </si>
  <si>
    <t xml:space="preserve">Đường giao thông thôn Thái Bằng 1 xã Nhất Hoà đến địa bàn xã Tân Thành </t>
  </si>
  <si>
    <t>Đường giao thông Khưa Cái-Lân Vỳ thôn Nam Hương 2</t>
  </si>
  <si>
    <t>Phai Mỏ Luông thôn Nam Hương 1 xã Tân Hương</t>
  </si>
  <si>
    <t xml:space="preserve">Đường giao thông (từ Yên Thành, xã Tân Thành - giáp ranh xã Nhất Hòa) </t>
  </si>
  <si>
    <t>Đường giao thông từ thôn Yên Thành xã Tân  Thành giáp xã Phương Giao, huyện Võ Nhai, tỉnh Thái Nguyên</t>
  </si>
  <si>
    <t>Thôn Đặc biệt khó khăn</t>
  </si>
  <si>
    <t>Đường giao thông thông  Tân Kỳ - Táp Già xã Chiêu Vũ</t>
  </si>
  <si>
    <t>Đường giao thông xóm Nà Riến - thôn Nà Cái, xã Tân Lập (tiếp)</t>
  </si>
  <si>
    <t>Nhà văn hóa thôn Suối Tín xã Tân Tri</t>
  </si>
  <si>
    <t>Nhà văn hóa thôn Nóoc Mò xã Trấn Yên</t>
  </si>
  <si>
    <t>VỐN BỔ SUNG TRONG NĂM 2023</t>
  </si>
  <si>
    <t>Phân bổ chi tiết kinh phí năm 2024 hỗ trợ Đề án phát triển GTNT giai đoạn 2021-2025, theo quyết định số 405/QĐ-UBND ngày 16/02/2024</t>
  </si>
  <si>
    <t>Chi tiết kinh phí phân bổ cho các dự án năm 2021</t>
  </si>
  <si>
    <t xml:space="preserve">Đường trục xã  Quang Tiến - Kha Hạ </t>
  </si>
  <si>
    <t>Đường trục xã Pá te - Lân Kẽm</t>
  </si>
  <si>
    <t>Đường trục xã Minh Tiến - Thống Nhất - Khuôn Bồng</t>
  </si>
  <si>
    <t xml:space="preserve">Đường trục xã Kha Hạ - Làng Khả </t>
  </si>
  <si>
    <t>Pù Dạ - Tân Rã - Bản Liếng</t>
  </si>
  <si>
    <t>Đường  BTXM  thôn   Pá  Lét -  Làng Lầu</t>
  </si>
  <si>
    <t>Đường  BTXM  thôn  Pò Đồn - Đèo Bụt</t>
  </si>
  <si>
    <t>Đường giao thông thôn Nà Yêu</t>
  </si>
  <si>
    <t>Chi tiết kinh phí phân bổ cho các dự án năm 2022</t>
  </si>
  <si>
    <t>Thanh Yên 1 - Bảo Thanh - Bản Luông (qua Thanh Yên 1, Bản Luông, Bảo Thanh)</t>
  </si>
  <si>
    <t xml:space="preserve"> Liên Lạc- Làng Dọc (qua  Liên lạc, Làng Dọc)</t>
  </si>
  <si>
    <t>Chi tiết kinh phí phân bổ cho các dự án năm 2023</t>
  </si>
  <si>
    <t>Đường giao thông Lân Páng - Thuỷ Hội</t>
  </si>
  <si>
    <t>Đường giao thông Tiên Đáo - Nà Rào - Rạ Lá - Ngọc Môn</t>
  </si>
  <si>
    <t>Đường giao thông An Ninh Minh Quang - Bản Đăng Bản Thí</t>
  </si>
  <si>
    <t>Đường giao thông thôn Lân Luông</t>
  </si>
  <si>
    <t>Đường giao thông Lân Vi - Hồng Phong 4</t>
  </si>
  <si>
    <t>Chi tiết kinh phí phân bổ cho các dự án năm 2024</t>
  </si>
  <si>
    <t>Tân Vũ - Bình An (qua thôn Tân Vũ, Bình An)</t>
  </si>
  <si>
    <t>UBND xã Trấn Yên</t>
  </si>
  <si>
    <t>UBND xã Vũ Sơn</t>
  </si>
  <si>
    <t>xã Long Đông</t>
  </si>
  <si>
    <t xml:space="preserve">xã Long Đống </t>
  </si>
  <si>
    <t xml:space="preserve">xã Tân Thành </t>
  </si>
  <si>
    <t>CT thuỷ lợi</t>
  </si>
  <si>
    <t>CT giao thông</t>
  </si>
  <si>
    <t>2023</t>
  </si>
  <si>
    <t>VỐN CHƯƠNG TRÌNH MTQG VÙNG ĐỒNG BÀO DTTS &amp;MN CHUYỂN NGUỒN TỪ NĂM 2023 SANG 2024</t>
  </si>
  <si>
    <t>BQLDA ĐTXD Huyện</t>
  </si>
  <si>
    <t>UBND xã Tân Thành</t>
  </si>
  <si>
    <t>UBND xã Tân Tri</t>
  </si>
  <si>
    <t>UBND xã Long Đống</t>
  </si>
  <si>
    <t>UBND xã Nhất Tiến</t>
  </si>
  <si>
    <t>UBND xã Chiến Thắng</t>
  </si>
  <si>
    <t>B5</t>
  </si>
  <si>
    <t>B6</t>
  </si>
  <si>
    <t>VỐN CHƯƠNG TRÌNH MTQG VÙNG ĐỒNG BÀO DTTS &amp;MN CHUYỂN NGUỒN TỪ NĂM 2022 SANG 2023</t>
  </si>
  <si>
    <t>Ngân sách trung ương</t>
  </si>
  <si>
    <t>Hỗ trợ đất sản xuất tại xã</t>
  </si>
  <si>
    <t>Cấp nước sinh hoạt thôn Nà Gỗ xã Tân Thành</t>
  </si>
  <si>
    <t>Cấp nước sinh hoạt xã Nhất Hòa</t>
  </si>
  <si>
    <t>Đường giao thông xóm Nà Riến, thôn Nà Cái, xã Tân Lập</t>
  </si>
  <si>
    <t>Đường giao thông Lân Kẽm - Thống Nhất xã Vũ Lễ</t>
  </si>
  <si>
    <t>Hỗ trợ đầu tư xây dựng nhà văn hóa thôn Bản Đắc xã Nhất Hòa</t>
  </si>
  <si>
    <t>Hỗ trợ đầu tư xây dựng nhà văn hóa thôn Làng Mỏ xã Trấn Yên</t>
  </si>
  <si>
    <t>C</t>
  </si>
  <si>
    <t xml:space="preserve">VỐN CHUYỂN NGUỒN </t>
  </si>
  <si>
    <t>D</t>
  </si>
  <si>
    <t>chưa giao chi tiết</t>
  </si>
  <si>
    <t>(Kèm theo Kế hoạch số      /KH-UBND ngày 26/4/2024 của UBND huyện Bắc Sơn)</t>
  </si>
  <si>
    <t>B7</t>
  </si>
  <si>
    <t xml:space="preserve"> chưa giao chi tiết</t>
  </si>
  <si>
    <r>
      <t>Đến 30/</t>
    </r>
    <r>
      <rPr>
        <b/>
        <sz val="10"/>
        <color rgb="FFFF0000"/>
        <rFont val="Times New Roman"/>
        <family val="1"/>
      </rPr>
      <t>10</t>
    </r>
    <r>
      <rPr>
        <b/>
        <sz val="10"/>
        <rFont val="Times New Roman"/>
        <family val="1"/>
      </rPr>
      <t>/2024 giải ngân 50%</t>
    </r>
  </si>
  <si>
    <r>
      <t xml:space="preserve">Đến </t>
    </r>
    <r>
      <rPr>
        <b/>
        <sz val="10"/>
        <color rgb="FFFF0000"/>
        <rFont val="Times New Roman"/>
        <family val="1"/>
      </rPr>
      <t>15/12</t>
    </r>
    <r>
      <rPr>
        <b/>
        <sz val="10"/>
        <rFont val="Times New Roman"/>
        <family val="1"/>
      </rPr>
      <t>/2024 giải ngân 80%</t>
    </r>
  </si>
  <si>
    <t>Đến 30/8/2024 giải ngân 30%</t>
  </si>
  <si>
    <t>Đến 30/6/2024 giải ngân 20%</t>
  </si>
  <si>
    <t>Đến 30/4/2024 giải ngân 10%</t>
  </si>
  <si>
    <t>Đến 30/5/2024 giải ngân 15%</t>
  </si>
  <si>
    <t>Đến 30/7/2024 giải ngân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</si>
</sst>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00_);_(* \(#,##0.00\);_(* &quot;-&quot;??_);_(@_)"/>
    <numFmt numFmtId="166" formatCode="#,##0;[Red]#,##0"/>
    <numFmt numFmtId="167" formatCode="#,##0.0"/>
    <numFmt numFmtId="168" formatCode="#,##0.00;[Red]#,##0.00"/>
  </numFmts>
  <fonts count="18" x14ac:knownFonts="1">
    <font>
      <sz val="11"/>
      <color theme="1"/>
      <name val="Times New Roman"/>
      <family val="2"/>
    </font>
    <font>
      <b/>
      <sz val="12"/>
      <name val="Times New Roman"/>
      <family val="1"/>
    </font>
    <font>
      <b/>
      <sz val="10"/>
      <name val="Times New Roman"/>
      <family val="1"/>
    </font>
    <font>
      <sz val="10"/>
      <color rgb="FFFF0000"/>
      <name val="Times New Roman"/>
      <family val="1"/>
    </font>
    <font>
      <sz val="10"/>
      <name val="Times New Roman"/>
      <family val="1"/>
    </font>
    <font>
      <sz val="12"/>
      <color indexed="8"/>
      <name val="Times New Roman"/>
      <family val="2"/>
    </font>
    <font>
      <sz val="11"/>
      <color rgb="FFFF0000"/>
      <name val="Times New Roman"/>
      <family val="1"/>
    </font>
    <font>
      <i/>
      <sz val="12"/>
      <name val="Times New Roman"/>
      <family val="1"/>
    </font>
    <font>
      <sz val="11"/>
      <color theme="1"/>
      <name val="Times New Roman"/>
      <family val="2"/>
    </font>
    <font>
      <sz val="10"/>
      <name val="Arial"/>
      <family val="2"/>
    </font>
    <font>
      <b/>
      <sz val="10"/>
      <color theme="1"/>
      <name val="Times New Roman"/>
      <family val="1"/>
    </font>
    <font>
      <sz val="12"/>
      <name val="Times New Roman"/>
      <family val="1"/>
    </font>
    <font>
      <sz val="10"/>
      <color theme="1"/>
      <name val="Times New Roman"/>
      <family val="1"/>
    </font>
    <font>
      <b/>
      <sz val="11"/>
      <color theme="1"/>
      <name val="Times New Roman"/>
      <family val="1"/>
    </font>
    <font>
      <sz val="11"/>
      <color indexed="8"/>
      <name val="Calibri"/>
      <family val="2"/>
    </font>
    <font>
      <b/>
      <sz val="10"/>
      <color rgb="FF7030A0"/>
      <name val="Times New Roman"/>
      <family val="1"/>
    </font>
    <font>
      <b/>
      <sz val="10"/>
      <color rgb="FFFF0000"/>
      <name val="Times New Roman"/>
      <family val="1"/>
    </font>
    <font>
      <b/>
      <sz val="10"/>
      <color rgb="FF002060"/>
      <name val="Times New Roman"/>
      <family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5" fillId="0" borderId="0"/>
    <xf numFmtId="43" fontId="8" fillId="0" borderId="0" applyFont="0" applyFill="0" applyBorder="0" applyAlignment="0" applyProtection="0"/>
    <xf numFmtId="0" fontId="9" fillId="0" borderId="0"/>
    <xf numFmtId="165" fontId="9" fillId="0" borderId="0" applyFont="0" applyFill="0" applyBorder="0" applyAlignment="0" applyProtection="0"/>
    <xf numFmtId="0" fontId="11" fillId="0" borderId="0"/>
    <xf numFmtId="0" fontId="9" fillId="0" borderId="0"/>
    <xf numFmtId="0" fontId="4" fillId="0" borderId="0"/>
    <xf numFmtId="0" fontId="14" fillId="0" borderId="0"/>
    <xf numFmtId="0" fontId="9" fillId="0" borderId="0"/>
    <xf numFmtId="165" fontId="14" fillId="0" borderId="0" applyFont="0" applyFill="0" applyBorder="0" applyAlignment="0" applyProtection="0"/>
    <xf numFmtId="164" fontId="8" fillId="0" borderId="0" applyFont="0" applyFill="0" applyBorder="0" applyAlignment="0" applyProtection="0"/>
  </cellStyleXfs>
  <cellXfs count="106">
    <xf numFmtId="0" fontId="0" fillId="0" borderId="0" xfId="0"/>
    <xf numFmtId="167" fontId="4" fillId="0" borderId="7" xfId="4" applyNumberFormat="1" applyFont="1" applyFill="1" applyBorder="1" applyAlignment="1" applyProtection="1">
      <alignment horizontal="center" vertical="center" wrapText="1"/>
    </xf>
    <xf numFmtId="43" fontId="4" fillId="0" borderId="7" xfId="2" applyFont="1" applyFill="1" applyBorder="1" applyAlignment="1">
      <alignment horizontal="center" vertical="center" wrapText="1"/>
    </xf>
    <xf numFmtId="164" fontId="2" fillId="2" borderId="7" xfId="11" applyFont="1" applyFill="1" applyBorder="1" applyAlignment="1">
      <alignment vertical="center"/>
    </xf>
    <xf numFmtId="164" fontId="2" fillId="3" borderId="7" xfId="11" applyFont="1" applyFill="1" applyBorder="1" applyAlignment="1">
      <alignment horizontal="right" vertical="center"/>
    </xf>
    <xf numFmtId="0" fontId="2" fillId="0" borderId="0" xfId="0" applyFont="1" applyAlignment="1">
      <alignment horizontal="right"/>
    </xf>
    <xf numFmtId="166" fontId="2" fillId="0" borderId="0" xfId="0" applyNumberFormat="1" applyFont="1" applyAlignment="1">
      <alignment horizontal="right"/>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2" fillId="0" borderId="6" xfId="0" applyFont="1" applyBorder="1" applyAlignment="1">
      <alignment horizontal="center" vertical="center" wrapText="1"/>
    </xf>
    <xf numFmtId="0" fontId="2" fillId="0" borderId="6" xfId="1" applyFont="1" applyBorder="1" applyAlignment="1">
      <alignment horizontal="center" vertical="center" wrapText="1"/>
    </xf>
    <xf numFmtId="1" fontId="2" fillId="0" borderId="6" xfId="1"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164" fontId="2" fillId="0" borderId="7" xfId="11" applyFont="1" applyFill="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left" vertical="center" wrapText="1"/>
    </xf>
    <xf numFmtId="0" fontId="4" fillId="0" borderId="7" xfId="0" applyFont="1" applyBorder="1" applyAlignment="1">
      <alignment vertical="center"/>
    </xf>
    <xf numFmtId="0" fontId="12" fillId="0" borderId="0" xfId="0" applyFont="1" applyAlignment="1">
      <alignment vertical="center"/>
    </xf>
    <xf numFmtId="164" fontId="4" fillId="0" borderId="7" xfId="11" applyFont="1" applyFill="1" applyBorder="1" applyAlignment="1">
      <alignment vertical="center"/>
    </xf>
    <xf numFmtId="0" fontId="2" fillId="0" borderId="7" xfId="0" applyFont="1" applyBorder="1" applyAlignment="1">
      <alignment vertical="center"/>
    </xf>
    <xf numFmtId="0" fontId="10" fillId="0" borderId="0" xfId="0" applyFont="1" applyAlignment="1">
      <alignment vertical="center"/>
    </xf>
    <xf numFmtId="0" fontId="4" fillId="0" borderId="7" xfId="3" applyFont="1" applyBorder="1" applyAlignment="1">
      <alignment horizontal="left" vertical="center" wrapText="1"/>
    </xf>
    <xf numFmtId="0" fontId="4" fillId="0" borderId="7" xfId="0" applyFont="1" applyBorder="1" applyAlignment="1">
      <alignment horizontal="center" vertical="center" wrapText="1"/>
    </xf>
    <xf numFmtId="0" fontId="4" fillId="0" borderId="7" xfId="3" applyFont="1" applyBorder="1" applyAlignment="1">
      <alignment horizontal="center" vertical="center" wrapText="1"/>
    </xf>
    <xf numFmtId="0" fontId="4" fillId="0" borderId="7" xfId="5" applyFont="1" applyBorder="1" applyAlignment="1">
      <alignment horizontal="center" vertical="center" wrapText="1"/>
    </xf>
    <xf numFmtId="1" fontId="4" fillId="0" borderId="7" xfId="3" applyNumberFormat="1" applyFont="1" applyBorder="1" applyAlignment="1">
      <alignment horizontal="center" vertical="center" wrapText="1"/>
    </xf>
    <xf numFmtId="0" fontId="4" fillId="0" borderId="7" xfId="0" applyFont="1" applyBorder="1" applyAlignment="1">
      <alignment horizontal="left" vertical="center" wrapText="1"/>
    </xf>
    <xf numFmtId="164" fontId="4" fillId="0" borderId="7" xfId="11" applyFont="1" applyFill="1" applyBorder="1" applyAlignment="1">
      <alignment vertical="center" wrapText="1"/>
    </xf>
    <xf numFmtId="0" fontId="16" fillId="0" borderId="7" xfId="0" applyFont="1" applyBorder="1" applyAlignment="1">
      <alignment horizontal="center" vertical="center" wrapText="1"/>
    </xf>
    <xf numFmtId="168" fontId="2" fillId="0" borderId="7" xfId="0" applyNumberFormat="1" applyFont="1" applyBorder="1" applyAlignment="1">
      <alignment vertical="center"/>
    </xf>
    <xf numFmtId="164" fontId="2" fillId="0" borderId="7" xfId="11" applyFont="1" applyFill="1" applyBorder="1" applyAlignment="1">
      <alignment horizontal="right" vertical="center"/>
    </xf>
    <xf numFmtId="0" fontId="15" fillId="0" borderId="7" xfId="0" applyFont="1" applyBorder="1" applyAlignment="1">
      <alignment horizontal="center" vertical="center" wrapText="1"/>
    </xf>
    <xf numFmtId="0" fontId="15" fillId="0" borderId="7" xfId="0" applyFont="1" applyBorder="1" applyAlignment="1">
      <alignment horizontal="left" vertical="center" wrapText="1"/>
    </xf>
    <xf numFmtId="3" fontId="15" fillId="0" borderId="7" xfId="10" applyNumberFormat="1" applyFont="1" applyFill="1" applyBorder="1" applyAlignment="1">
      <alignment horizontal="right" vertical="center" wrapText="1"/>
    </xf>
    <xf numFmtId="164" fontId="15" fillId="0" borderId="7" xfId="11" applyFont="1" applyFill="1" applyBorder="1" applyAlignment="1">
      <alignment horizontal="right" vertical="center" wrapText="1"/>
    </xf>
    <xf numFmtId="0" fontId="16" fillId="0" borderId="7" xfId="0" applyFont="1" applyBorder="1" applyAlignment="1">
      <alignment horizontal="left" vertical="center" wrapText="1"/>
    </xf>
    <xf numFmtId="3" fontId="16" fillId="0" borderId="7" xfId="10" applyNumberFormat="1" applyFont="1" applyFill="1" applyBorder="1" applyAlignment="1">
      <alignment horizontal="right" vertical="center" wrapText="1"/>
    </xf>
    <xf numFmtId="164" fontId="16" fillId="0" borderId="7" xfId="11" applyFont="1" applyFill="1" applyBorder="1" applyAlignment="1">
      <alignment horizontal="right" vertical="center" wrapText="1"/>
    </xf>
    <xf numFmtId="0" fontId="10" fillId="0" borderId="7" xfId="0" applyFont="1" applyBorder="1" applyAlignment="1">
      <alignment horizontal="center" vertical="center" wrapText="1"/>
    </xf>
    <xf numFmtId="3" fontId="10" fillId="0" borderId="7" xfId="10" applyNumberFormat="1" applyFont="1" applyFill="1" applyBorder="1" applyAlignment="1">
      <alignment horizontal="right" vertical="center" wrapText="1"/>
    </xf>
    <xf numFmtId="164" fontId="10" fillId="0" borderId="7" xfId="11" applyFont="1" applyFill="1" applyBorder="1" applyAlignment="1">
      <alignment horizontal="right" vertical="center" wrapText="1"/>
    </xf>
    <xf numFmtId="0" fontId="12" fillId="0" borderId="7" xfId="0" applyFont="1" applyBorder="1" applyAlignment="1">
      <alignment horizontal="center" vertical="center" wrapText="1"/>
    </xf>
    <xf numFmtId="164" fontId="4" fillId="0" borderId="7" xfId="11" applyFont="1" applyFill="1" applyBorder="1" applyAlignment="1">
      <alignment horizontal="right" vertical="center"/>
    </xf>
    <xf numFmtId="164" fontId="12" fillId="0" borderId="7" xfId="11" applyFont="1" applyFill="1" applyBorder="1" applyAlignment="1">
      <alignment horizontal="right" vertical="center" wrapText="1"/>
    </xf>
    <xf numFmtId="0" fontId="10" fillId="0" borderId="0" xfId="0" applyFont="1"/>
    <xf numFmtId="0" fontId="13" fillId="0" borderId="0" xfId="0" applyFont="1"/>
    <xf numFmtId="0" fontId="12" fillId="0" borderId="0" xfId="0" applyFont="1" applyAlignment="1">
      <alignment horizontal="center"/>
    </xf>
    <xf numFmtId="0" fontId="12" fillId="0" borderId="0" xfId="0" applyFont="1" applyAlignment="1">
      <alignment horizontal="left"/>
    </xf>
    <xf numFmtId="0" fontId="12" fillId="0" borderId="0" xfId="0" applyFont="1"/>
    <xf numFmtId="0" fontId="3" fillId="0" borderId="0" xfId="0" applyFont="1"/>
    <xf numFmtId="0" fontId="12" fillId="0" borderId="0" xfId="0" applyFont="1" applyAlignment="1">
      <alignment horizontal="center" vertical="center"/>
    </xf>
    <xf numFmtId="0" fontId="0" fillId="0" borderId="0" xfId="0" applyAlignment="1">
      <alignment horizontal="center"/>
    </xf>
    <xf numFmtId="0" fontId="0" fillId="0" borderId="0" xfId="0" applyAlignment="1">
      <alignment horizontal="left"/>
    </xf>
    <xf numFmtId="0" fontId="6" fillId="0" borderId="0" xfId="0" applyFont="1"/>
    <xf numFmtId="0" fontId="0" fillId="0" borderId="0" xfId="0" applyAlignment="1">
      <alignment horizontal="center" vertical="center"/>
    </xf>
    <xf numFmtId="168" fontId="12" fillId="0" borderId="0" xfId="0" applyNumberFormat="1" applyFont="1" applyAlignment="1">
      <alignment vertical="center"/>
    </xf>
    <xf numFmtId="0" fontId="4" fillId="0" borderId="7" xfId="0" applyFont="1" applyBorder="1" applyAlignment="1">
      <alignment vertical="center" wrapText="1"/>
    </xf>
    <xf numFmtId="168" fontId="4" fillId="0" borderId="7" xfId="0" applyNumberFormat="1" applyFont="1" applyBorder="1" applyAlignment="1">
      <alignment vertical="center"/>
    </xf>
    <xf numFmtId="0" fontId="4" fillId="0" borderId="7" xfId="6" applyFont="1" applyBorder="1" applyAlignment="1">
      <alignment horizontal="left" vertical="center" wrapText="1"/>
    </xf>
    <xf numFmtId="0" fontId="17" fillId="0" borderId="7" xfId="0" applyFont="1" applyBorder="1" applyAlignment="1">
      <alignment horizontal="center" vertical="center" wrapText="1"/>
    </xf>
    <xf numFmtId="0" fontId="17" fillId="0" borderId="7" xfId="0" applyFont="1" applyBorder="1" applyAlignment="1">
      <alignment horizontal="left" vertical="center" wrapText="1"/>
    </xf>
    <xf numFmtId="3" fontId="17" fillId="0" borderId="7" xfId="10" applyNumberFormat="1" applyFont="1" applyFill="1" applyBorder="1" applyAlignment="1">
      <alignment horizontal="right" vertical="center" wrapText="1"/>
    </xf>
    <xf numFmtId="164" fontId="17" fillId="0" borderId="7" xfId="11" applyFont="1" applyFill="1" applyBorder="1" applyAlignment="1">
      <alignment horizontal="right" vertical="center" wrapText="1"/>
    </xf>
    <xf numFmtId="1" fontId="4" fillId="0" borderId="7" xfId="9" applyNumberFormat="1" applyFont="1" applyBorder="1" applyAlignment="1">
      <alignment horizontal="left" vertical="center" wrapText="1"/>
    </xf>
    <xf numFmtId="0" fontId="4" fillId="0" borderId="7" xfId="0" applyFont="1" applyBorder="1" applyAlignment="1">
      <alignment horizontal="justify" vertical="center" wrapText="1"/>
    </xf>
    <xf numFmtId="0" fontId="2" fillId="0" borderId="6" xfId="0" applyFont="1" applyBorder="1" applyAlignment="1">
      <alignment horizontal="left" vertical="center" wrapText="1"/>
    </xf>
    <xf numFmtId="49" fontId="2" fillId="0" borderId="7" xfId="0" applyNumberFormat="1" applyFont="1" applyBorder="1" applyAlignment="1">
      <alignment horizontal="center" vertical="center"/>
    </xf>
    <xf numFmtId="168" fontId="10" fillId="0" borderId="0" xfId="0" applyNumberFormat="1" applyFont="1" applyAlignment="1">
      <alignment vertical="center"/>
    </xf>
    <xf numFmtId="164" fontId="4" fillId="0" borderId="7" xfId="11" applyFont="1" applyFill="1" applyBorder="1" applyAlignment="1">
      <alignment horizontal="right" vertical="center" wrapText="1"/>
    </xf>
    <xf numFmtId="164" fontId="4" fillId="0" borderId="0" xfId="11" applyFont="1" applyFill="1" applyAlignment="1">
      <alignment horizontal="righ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1" fontId="2" fillId="0" borderId="1" xfId="1" applyNumberFormat="1" applyFont="1" applyBorder="1" applyAlignment="1">
      <alignment horizontal="center" vertical="center" wrapText="1"/>
    </xf>
    <xf numFmtId="1" fontId="2" fillId="0" borderId="5" xfId="1" applyNumberFormat="1" applyFont="1" applyBorder="1" applyAlignment="1">
      <alignment horizontal="center" vertical="center" wrapText="1"/>
    </xf>
    <xf numFmtId="1" fontId="2" fillId="0" borderId="6"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12">
    <cellStyle name="Comma" xfId="2" builtinId="3"/>
    <cellStyle name="Comma [0]" xfId="11" builtinId="6"/>
    <cellStyle name="Comma 10 10 2" xfId="10" xr:uid="{2A7E38CC-6465-49CA-B83A-342C4CE66F27}"/>
    <cellStyle name="Comma 3 4" xfId="4" xr:uid="{00000000-0005-0000-0000-000002000000}"/>
    <cellStyle name="f_Danhmuc_Quyhoach2009 2" xfId="3" xr:uid="{00000000-0005-0000-0000-000003000000}"/>
    <cellStyle name="Normal" xfId="0" builtinId="0"/>
    <cellStyle name="Normal 2 2" xfId="6" xr:uid="{A296C030-7927-4B8C-980D-F3BA9ACD90A8}"/>
    <cellStyle name="Normal 2 2 2" xfId="8" xr:uid="{8BA705EA-7E64-4E77-9DE3-A4D6DC11E6E2}"/>
    <cellStyle name="Normal 2 4 2" xfId="5" xr:uid="{00000000-0005-0000-0000-000005000000}"/>
    <cellStyle name="Normal 3 2" xfId="1" xr:uid="{00000000-0005-0000-0000-000006000000}"/>
    <cellStyle name="Normal 5" xfId="7" xr:uid="{5568A621-F4B4-4024-9226-CE051100D79B}"/>
    <cellStyle name="Normal_Bieu mau (CV )" xfId="9" xr:uid="{122F12AA-C2DB-4E16-AD92-BBA403A44B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Ke%20toan\Le\PHONG%20NGHIEP%20VU\CTMT%20PTKT-XH%20VUNG%20DBDTTS%202021-2030\TIEU%20CHI%20PHAN%20BO%20VON\Du%20thao%20NQ,%20TT\Bieu%20so%20lieu\bieu%20so%20lieu%20cac%20du%20an%20theo%20BC%201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Ke%20toan\Le\PHONG%20NGHIEP%20VU\CTMT%20PTKT-XH%20VUNG%20DBDTTS%202021-2030\TIEU%20CHI%20PHAN%20BO%20VON\Du%20thao%20NQ,%20TT\Bieu%20so%20lieu\bieu%20so%20lieu%20cac%20du%20an%20theo%20BC%201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10">
          <cell r="B10" t="str">
            <v>Dự án 3: Phát triển sản xuất nông, lâm nghiệp bền vững, phát huy tiềm năng, thế mạnh của các vùng miền để sản xuất hàng hóa theo chuỗi giá trị</v>
          </cell>
        </row>
        <row r="13">
          <cell r="B13" t="str">
            <v>Dự án 4: Đầu tư cơ sở hạ tầng thiết yếu, phục vụ sản xuất, đời sống trong vùng đồng bào dân tộc thiểu số và miền núi và các đơn vị sự nghiệp công của lĩnh vực dân tộc</v>
          </cell>
        </row>
        <row r="20">
          <cell r="B20" t="str">
            <v>Dự án 6: Bảo tồn, phát huy giá trị văn hóa truyền thống tốt đẹp của các dân tộc thiểu số gắn với phát triển du lịch</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8">
          <cell r="B8" t="str">
            <v>Giải quyết tình trạng thiếu đất ở, nhà ở, đất sản xuất, nước sinh hoạt</v>
          </cell>
        </row>
        <row r="13">
          <cell r="B13" t="str">
            <v>Dự án 4: Đầu tư cơ sở hạ tầng thiết yếu, phục vụ sản xuất, đời sống trong vùng đồng bào dân tộc thiểu số và miền núi và các đơn vị sự nghiệp công của lĩnh vực dân tộc</v>
          </cell>
        </row>
        <row r="20">
          <cell r="B20" t="str">
            <v>Dự án 6: Bảo tồn, phát huy giá trị văn hóa truyền thống tốt đẹp của các dân tộc thiểu số gắn với phát triển du lịch</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G161"/>
  <sheetViews>
    <sheetView view="pageBreakPreview" zoomScaleNormal="100" zoomScaleSheetLayoutView="100" workbookViewId="0">
      <pane ySplit="7" topLeftCell="A14" activePane="bottomLeft" state="frozen"/>
      <selection pane="bottomLeft" activeCell="M17" sqref="M17"/>
    </sheetView>
  </sheetViews>
  <sheetFormatPr defaultColWidth="9.140625" defaultRowHeight="15" x14ac:dyDescent="0.25"/>
  <cols>
    <col min="1" max="1" width="4.42578125" style="59" bestFit="1" customWidth="1"/>
    <col min="2" max="2" width="32.7109375" style="60" bestFit="1" customWidth="1"/>
    <col min="3" max="3" width="8.28515625" bestFit="1" customWidth="1"/>
    <col min="4" max="4" width="8.5703125" bestFit="1" customWidth="1"/>
    <col min="5" max="5" width="9" style="59" bestFit="1" customWidth="1"/>
    <col min="6" max="6" width="10.28515625" customWidth="1"/>
    <col min="7" max="7" width="11.28515625" bestFit="1" customWidth="1"/>
    <col min="8" max="8" width="9.28515625" bestFit="1" customWidth="1"/>
    <col min="9" max="9" width="11" customWidth="1"/>
    <col min="10" max="10" width="12.28515625" bestFit="1" customWidth="1"/>
    <col min="11" max="11" width="10.28515625" style="61" bestFit="1" customWidth="1"/>
    <col min="12" max="12" width="10.7109375" style="61" bestFit="1" customWidth="1"/>
    <col min="13" max="14" width="10.28515625" style="61" bestFit="1" customWidth="1"/>
    <col min="15" max="15" width="13.7109375" style="61" customWidth="1"/>
    <col min="16" max="16" width="14.42578125" style="61" customWidth="1"/>
    <col min="17" max="17" width="13.7109375" style="61" customWidth="1"/>
    <col min="18" max="18" width="13" style="61" customWidth="1"/>
    <col min="19" max="19" width="14.28515625" style="61" customWidth="1"/>
    <col min="20" max="20" width="7.7109375" bestFit="1" customWidth="1"/>
    <col min="21" max="21" width="7.28515625" style="62" bestFit="1" customWidth="1"/>
  </cols>
  <sheetData>
    <row r="1" spans="1:33" s="9" customFormat="1" ht="15.75" x14ac:dyDescent="0.2">
      <c r="A1" s="78" t="s">
        <v>18</v>
      </c>
      <c r="B1" s="78"/>
      <c r="C1" s="78"/>
      <c r="D1" s="78"/>
      <c r="E1" s="78"/>
      <c r="F1" s="78"/>
      <c r="G1" s="78"/>
      <c r="H1" s="78"/>
      <c r="I1" s="78"/>
      <c r="J1" s="78"/>
      <c r="K1" s="78"/>
      <c r="L1" s="78"/>
      <c r="M1" s="78"/>
      <c r="N1" s="78"/>
      <c r="O1" s="78"/>
      <c r="P1" s="78"/>
      <c r="Q1" s="78"/>
      <c r="R1" s="78"/>
      <c r="S1" s="78"/>
      <c r="T1" s="78"/>
      <c r="U1" s="78"/>
      <c r="V1" s="5"/>
      <c r="W1" s="6"/>
      <c r="X1" s="5"/>
      <c r="Y1" s="5"/>
      <c r="Z1" s="7"/>
      <c r="AA1" s="7"/>
      <c r="AB1" s="7"/>
      <c r="AC1" s="7"/>
      <c r="AD1" s="7"/>
      <c r="AE1" s="7"/>
      <c r="AF1" s="8"/>
      <c r="AG1" s="8"/>
    </row>
    <row r="2" spans="1:33" s="9" customFormat="1" ht="15.75" x14ac:dyDescent="0.2">
      <c r="A2" s="94" t="s">
        <v>325</v>
      </c>
      <c r="B2" s="94"/>
      <c r="C2" s="94"/>
      <c r="D2" s="94"/>
      <c r="E2" s="94"/>
      <c r="F2" s="94"/>
      <c r="G2" s="94"/>
      <c r="H2" s="94"/>
      <c r="I2" s="94"/>
      <c r="J2" s="94"/>
      <c r="K2" s="94"/>
      <c r="L2" s="94"/>
      <c r="M2" s="94"/>
      <c r="N2" s="94"/>
      <c r="O2" s="94"/>
      <c r="P2" s="94"/>
      <c r="Q2" s="94"/>
      <c r="R2" s="94"/>
      <c r="S2" s="94"/>
      <c r="T2" s="94"/>
      <c r="U2" s="94"/>
      <c r="V2" s="5"/>
      <c r="W2" s="6"/>
      <c r="X2" s="5"/>
      <c r="Y2" s="5"/>
      <c r="Z2" s="7"/>
      <c r="AA2" s="7"/>
      <c r="AB2" s="7"/>
      <c r="AC2" s="7"/>
      <c r="AD2" s="7"/>
      <c r="AE2" s="7"/>
      <c r="AF2" s="8"/>
      <c r="AG2" s="8"/>
    </row>
    <row r="4" spans="1:33" s="10" customFormat="1" ht="26.25" customHeight="1" x14ac:dyDescent="0.25">
      <c r="A4" s="79" t="s">
        <v>0</v>
      </c>
      <c r="B4" s="79" t="s">
        <v>19</v>
      </c>
      <c r="C4" s="79" t="s">
        <v>1</v>
      </c>
      <c r="D4" s="82" t="s">
        <v>2</v>
      </c>
      <c r="E4" s="85" t="s">
        <v>3</v>
      </c>
      <c r="F4" s="88" t="s">
        <v>4</v>
      </c>
      <c r="G4" s="89"/>
      <c r="H4" s="90"/>
      <c r="I4" s="79" t="s">
        <v>20</v>
      </c>
      <c r="J4" s="79" t="s">
        <v>5</v>
      </c>
      <c r="K4" s="91" t="s">
        <v>6</v>
      </c>
      <c r="L4" s="92"/>
      <c r="M4" s="93"/>
      <c r="N4" s="88" t="s">
        <v>22</v>
      </c>
      <c r="O4" s="89"/>
      <c r="P4" s="89"/>
      <c r="Q4" s="89"/>
      <c r="R4" s="89"/>
      <c r="S4" s="89"/>
      <c r="T4" s="79" t="s">
        <v>7</v>
      </c>
      <c r="U4" s="79" t="s">
        <v>8</v>
      </c>
    </row>
    <row r="5" spans="1:33" s="10" customFormat="1" ht="13.15" customHeight="1" x14ac:dyDescent="0.25">
      <c r="A5" s="80"/>
      <c r="B5" s="80"/>
      <c r="C5" s="80"/>
      <c r="D5" s="83"/>
      <c r="E5" s="86"/>
      <c r="F5" s="79" t="s">
        <v>9</v>
      </c>
      <c r="G5" s="88" t="s">
        <v>10</v>
      </c>
      <c r="H5" s="90"/>
      <c r="I5" s="80"/>
      <c r="J5" s="80"/>
      <c r="K5" s="79" t="s">
        <v>11</v>
      </c>
      <c r="L5" s="88" t="s">
        <v>12</v>
      </c>
      <c r="M5" s="90"/>
      <c r="N5" s="95" t="s">
        <v>11</v>
      </c>
      <c r="O5" s="88" t="s">
        <v>12</v>
      </c>
      <c r="P5" s="89"/>
      <c r="Q5" s="89"/>
      <c r="R5" s="89"/>
      <c r="S5" s="89"/>
      <c r="T5" s="80"/>
      <c r="U5" s="80"/>
    </row>
    <row r="6" spans="1:33" s="10" customFormat="1" ht="55.5" customHeight="1" x14ac:dyDescent="0.25">
      <c r="A6" s="81"/>
      <c r="B6" s="81"/>
      <c r="C6" s="81"/>
      <c r="D6" s="84"/>
      <c r="E6" s="87"/>
      <c r="F6" s="81"/>
      <c r="G6" s="14" t="s">
        <v>11</v>
      </c>
      <c r="H6" s="14" t="s">
        <v>13</v>
      </c>
      <c r="I6" s="81"/>
      <c r="J6" s="81"/>
      <c r="K6" s="81"/>
      <c r="L6" s="14" t="s">
        <v>14</v>
      </c>
      <c r="M6" s="14" t="s">
        <v>15</v>
      </c>
      <c r="N6" s="96"/>
      <c r="O6" s="79" t="s">
        <v>21</v>
      </c>
      <c r="P6" s="88" t="s">
        <v>24</v>
      </c>
      <c r="Q6" s="90"/>
      <c r="R6" s="88" t="s">
        <v>27</v>
      </c>
      <c r="S6" s="90"/>
      <c r="T6" s="81"/>
      <c r="U6" s="81"/>
      <c r="W6" s="10" t="s">
        <v>23</v>
      </c>
    </row>
    <row r="7" spans="1:33" s="10" customFormat="1" ht="55.5" customHeight="1" x14ac:dyDescent="0.25">
      <c r="A7" s="11"/>
      <c r="B7" s="73"/>
      <c r="C7" s="11"/>
      <c r="D7" s="12"/>
      <c r="E7" s="13"/>
      <c r="F7" s="11"/>
      <c r="G7" s="14"/>
      <c r="H7" s="14"/>
      <c r="I7" s="11"/>
      <c r="J7" s="11"/>
      <c r="K7" s="11"/>
      <c r="L7" s="14"/>
      <c r="M7" s="14"/>
      <c r="N7" s="15"/>
      <c r="O7" s="81"/>
      <c r="P7" s="14" t="s">
        <v>25</v>
      </c>
      <c r="Q7" s="14" t="s">
        <v>239</v>
      </c>
      <c r="R7" s="14" t="s">
        <v>28</v>
      </c>
      <c r="S7" s="14" t="s">
        <v>26</v>
      </c>
      <c r="T7" s="11"/>
      <c r="U7" s="11"/>
    </row>
    <row r="8" spans="1:33" s="18" customFormat="1" ht="12.75" x14ac:dyDescent="0.25">
      <c r="A8" s="16">
        <v>1</v>
      </c>
      <c r="B8" s="17">
        <v>2</v>
      </c>
      <c r="C8" s="16">
        <v>3</v>
      </c>
      <c r="D8" s="16">
        <v>4</v>
      </c>
      <c r="E8" s="16">
        <v>5</v>
      </c>
      <c r="F8" s="16">
        <v>6</v>
      </c>
      <c r="G8" s="16">
        <v>7</v>
      </c>
      <c r="H8" s="16">
        <v>8</v>
      </c>
      <c r="I8" s="16">
        <v>9</v>
      </c>
      <c r="J8" s="16">
        <v>10</v>
      </c>
      <c r="K8" s="16" t="s">
        <v>16</v>
      </c>
      <c r="L8" s="16">
        <v>12</v>
      </c>
      <c r="M8" s="16">
        <v>13</v>
      </c>
      <c r="N8" s="16" t="s">
        <v>17</v>
      </c>
      <c r="O8" s="16">
        <v>15</v>
      </c>
      <c r="P8" s="16">
        <v>16</v>
      </c>
      <c r="Q8" s="16">
        <v>17</v>
      </c>
      <c r="R8" s="16">
        <v>18</v>
      </c>
      <c r="S8" s="16">
        <v>19</v>
      </c>
      <c r="T8" s="16">
        <v>20</v>
      </c>
      <c r="U8" s="16">
        <v>21</v>
      </c>
    </row>
    <row r="9" spans="1:33" s="22" customFormat="1" ht="12.75" x14ac:dyDescent="0.25">
      <c r="A9" s="19"/>
      <c r="B9" s="20" t="s">
        <v>238</v>
      </c>
      <c r="C9" s="19"/>
      <c r="D9" s="19"/>
      <c r="E9" s="19"/>
      <c r="F9" s="19"/>
      <c r="G9" s="38">
        <f>G10</f>
        <v>374993.8489584839</v>
      </c>
      <c r="H9" s="38">
        <f t="shared" ref="H9:S9" si="0">H10</f>
        <v>137</v>
      </c>
      <c r="I9" s="38">
        <f t="shared" si="0"/>
        <v>143163.26799999998</v>
      </c>
      <c r="J9" s="38">
        <f t="shared" si="0"/>
        <v>118540.878</v>
      </c>
      <c r="K9" s="4">
        <f t="shared" si="0"/>
        <v>92423.353999999992</v>
      </c>
      <c r="L9" s="38">
        <f t="shared" si="0"/>
        <v>2353.9540000000002</v>
      </c>
      <c r="M9" s="38">
        <f t="shared" si="0"/>
        <v>90069.4</v>
      </c>
      <c r="N9" s="4">
        <f t="shared" si="0"/>
        <v>92423.353999999992</v>
      </c>
      <c r="O9" s="38">
        <f t="shared" si="0"/>
        <v>35418.953999999998</v>
      </c>
      <c r="P9" s="38">
        <f t="shared" si="0"/>
        <v>12648.3</v>
      </c>
      <c r="Q9" s="38">
        <f t="shared" si="0"/>
        <v>5270.7000000000007</v>
      </c>
      <c r="R9" s="38">
        <f t="shared" si="0"/>
        <v>16628.36</v>
      </c>
      <c r="S9" s="38">
        <f t="shared" si="0"/>
        <v>22457.039999999997</v>
      </c>
      <c r="T9" s="19"/>
      <c r="U9" s="19"/>
    </row>
    <row r="10" spans="1:33" s="25" customFormat="1" ht="12.75" x14ac:dyDescent="0.25">
      <c r="A10" s="19" t="s">
        <v>29</v>
      </c>
      <c r="B10" s="23" t="s">
        <v>30</v>
      </c>
      <c r="C10" s="24"/>
      <c r="D10" s="24"/>
      <c r="E10" s="16"/>
      <c r="F10" s="24"/>
      <c r="G10" s="38">
        <f t="shared" ref="G10:S10" si="1">G11+G13</f>
        <v>374993.8489584839</v>
      </c>
      <c r="H10" s="38">
        <f t="shared" si="1"/>
        <v>137</v>
      </c>
      <c r="I10" s="38">
        <f t="shared" si="1"/>
        <v>143163.26799999998</v>
      </c>
      <c r="J10" s="38">
        <f t="shared" si="1"/>
        <v>118540.878</v>
      </c>
      <c r="K10" s="38">
        <f>K11+K13</f>
        <v>92423.353999999992</v>
      </c>
      <c r="L10" s="38">
        <f t="shared" si="1"/>
        <v>2353.9540000000002</v>
      </c>
      <c r="M10" s="38">
        <f t="shared" si="1"/>
        <v>90069.4</v>
      </c>
      <c r="N10" s="38">
        <f t="shared" si="1"/>
        <v>92423.353999999992</v>
      </c>
      <c r="O10" s="38">
        <f t="shared" si="1"/>
        <v>35418.953999999998</v>
      </c>
      <c r="P10" s="38">
        <f t="shared" si="1"/>
        <v>12648.3</v>
      </c>
      <c r="Q10" s="38">
        <f t="shared" si="1"/>
        <v>5270.7000000000007</v>
      </c>
      <c r="R10" s="38">
        <f t="shared" si="1"/>
        <v>16628.36</v>
      </c>
      <c r="S10" s="38">
        <f t="shared" si="1"/>
        <v>22457.039999999997</v>
      </c>
      <c r="T10" s="24"/>
      <c r="U10" s="16"/>
    </row>
    <row r="11" spans="1:33" s="25" customFormat="1" ht="12.75" x14ac:dyDescent="0.25">
      <c r="A11" s="19" t="s">
        <v>31</v>
      </c>
      <c r="B11" s="23" t="s">
        <v>32</v>
      </c>
      <c r="C11" s="24"/>
      <c r="D11" s="24"/>
      <c r="E11" s="16"/>
      <c r="F11" s="24"/>
      <c r="G11" s="50"/>
      <c r="H11" s="50"/>
      <c r="I11" s="50"/>
      <c r="J11" s="50"/>
      <c r="K11" s="50"/>
      <c r="L11" s="50"/>
      <c r="M11" s="50"/>
      <c r="N11" s="50"/>
      <c r="O11" s="50"/>
      <c r="P11" s="50"/>
      <c r="Q11" s="50"/>
      <c r="R11" s="50"/>
      <c r="S11" s="50"/>
      <c r="T11" s="24"/>
      <c r="U11" s="16"/>
    </row>
    <row r="12" spans="1:33" s="25" customFormat="1" ht="12.75" x14ac:dyDescent="0.25">
      <c r="A12" s="74" t="s">
        <v>33</v>
      </c>
      <c r="B12" s="20" t="s">
        <v>34</v>
      </c>
      <c r="C12" s="24"/>
      <c r="D12" s="24"/>
      <c r="E12" s="16"/>
      <c r="F12" s="24"/>
      <c r="G12" s="50"/>
      <c r="H12" s="50"/>
      <c r="I12" s="50"/>
      <c r="J12" s="50"/>
      <c r="K12" s="50"/>
      <c r="L12" s="50"/>
      <c r="M12" s="50"/>
      <c r="N12" s="50"/>
      <c r="O12" s="50"/>
      <c r="P12" s="50"/>
      <c r="Q12" s="50"/>
      <c r="R12" s="50"/>
      <c r="S12" s="50"/>
      <c r="T12" s="24"/>
      <c r="U12" s="16"/>
    </row>
    <row r="13" spans="1:33" s="28" customFormat="1" ht="12.75" x14ac:dyDescent="0.25">
      <c r="A13" s="14" t="s">
        <v>36</v>
      </c>
      <c r="B13" s="23" t="s">
        <v>37</v>
      </c>
      <c r="C13" s="27"/>
      <c r="D13" s="27"/>
      <c r="E13" s="19"/>
      <c r="F13" s="27"/>
      <c r="G13" s="38">
        <f t="shared" ref="G13:S13" si="2">+G14+G25+G41+G55+G107+G140</f>
        <v>374993.8489584839</v>
      </c>
      <c r="H13" s="38">
        <f t="shared" si="2"/>
        <v>137</v>
      </c>
      <c r="I13" s="38">
        <f t="shared" si="2"/>
        <v>143163.26799999998</v>
      </c>
      <c r="J13" s="38">
        <f t="shared" si="2"/>
        <v>118540.878</v>
      </c>
      <c r="K13" s="38">
        <f t="shared" si="2"/>
        <v>92423.353999999992</v>
      </c>
      <c r="L13" s="38">
        <f t="shared" si="2"/>
        <v>2353.9540000000002</v>
      </c>
      <c r="M13" s="38">
        <f t="shared" si="2"/>
        <v>90069.4</v>
      </c>
      <c r="N13" s="38">
        <f t="shared" si="2"/>
        <v>92423.353999999992</v>
      </c>
      <c r="O13" s="38">
        <f t="shared" si="2"/>
        <v>35418.953999999998</v>
      </c>
      <c r="P13" s="38">
        <f t="shared" si="2"/>
        <v>12648.3</v>
      </c>
      <c r="Q13" s="38">
        <f t="shared" si="2"/>
        <v>5270.7000000000007</v>
      </c>
      <c r="R13" s="38">
        <f t="shared" si="2"/>
        <v>16628.36</v>
      </c>
      <c r="S13" s="38">
        <f t="shared" si="2"/>
        <v>22457.039999999997</v>
      </c>
      <c r="T13" s="27"/>
      <c r="U13" s="19"/>
      <c r="V13" s="75">
        <f>99013-1000-600-4990</f>
        <v>92423</v>
      </c>
    </row>
    <row r="14" spans="1:33" s="28" customFormat="1" ht="12.75" x14ac:dyDescent="0.25">
      <c r="A14" s="19" t="s">
        <v>39</v>
      </c>
      <c r="B14" s="20" t="s">
        <v>38</v>
      </c>
      <c r="C14" s="27"/>
      <c r="D14" s="27"/>
      <c r="E14" s="19"/>
      <c r="F14" s="27"/>
      <c r="G14" s="38">
        <f t="shared" ref="G14" si="3">+G15+G20+G23</f>
        <v>22604</v>
      </c>
      <c r="H14" s="38">
        <f t="shared" ref="H14" si="4">+H15+H20+H23</f>
        <v>0</v>
      </c>
      <c r="I14" s="38">
        <f t="shared" ref="I14" si="5">+I15+I20+I23</f>
        <v>21957.1</v>
      </c>
      <c r="J14" s="38">
        <f t="shared" ref="J14" si="6">+J15+J20+J23</f>
        <v>11095</v>
      </c>
      <c r="K14" s="38">
        <f t="shared" ref="K14" si="7">+K15+K20+K23</f>
        <v>9608</v>
      </c>
      <c r="L14" s="38">
        <f t="shared" ref="L14" si="8">+L15+L20+L23</f>
        <v>0</v>
      </c>
      <c r="M14" s="38">
        <f t="shared" ref="M14" si="9">+M15+M20+M23</f>
        <v>9608</v>
      </c>
      <c r="N14" s="38">
        <f t="shared" ref="N14" si="10">+N15+N20+N23</f>
        <v>9608</v>
      </c>
      <c r="O14" s="38">
        <f t="shared" ref="O14" si="11">+O15+O20+O23</f>
        <v>5849</v>
      </c>
      <c r="P14" s="38">
        <f t="shared" ref="P14" si="12">+P15+P20+P23</f>
        <v>949.89999999999986</v>
      </c>
      <c r="Q14" s="38">
        <f t="shared" ref="Q14" si="13">+Q15+Q20+Q23</f>
        <v>407.10000000000014</v>
      </c>
      <c r="R14" s="38">
        <f t="shared" ref="R14" si="14">+R15+R20+R23</f>
        <v>960.80000000000007</v>
      </c>
      <c r="S14" s="38">
        <f t="shared" ref="S14" si="15">+S15+S20+S23</f>
        <v>1441.1999999999998</v>
      </c>
      <c r="T14" s="27"/>
      <c r="U14" s="19"/>
    </row>
    <row r="15" spans="1:33" s="25" customFormat="1" ht="25.5" x14ac:dyDescent="0.25">
      <c r="A15" s="16" t="s">
        <v>29</v>
      </c>
      <c r="B15" s="34" t="s">
        <v>228</v>
      </c>
      <c r="C15" s="24"/>
      <c r="D15" s="24"/>
      <c r="E15" s="16"/>
      <c r="F15" s="24"/>
      <c r="G15" s="50">
        <f>+G16+G17+G18+G19</f>
        <v>15304</v>
      </c>
      <c r="H15" s="50">
        <f t="shared" ref="H15:S15" si="16">+H16+H17+H18+H19</f>
        <v>0</v>
      </c>
      <c r="I15" s="50">
        <f t="shared" si="16"/>
        <v>14972.1</v>
      </c>
      <c r="J15" s="50">
        <f t="shared" si="16"/>
        <v>9122</v>
      </c>
      <c r="K15" s="50">
        <f>+K16+K17+K18+K19</f>
        <v>5849</v>
      </c>
      <c r="L15" s="50">
        <f t="shared" si="16"/>
        <v>0</v>
      </c>
      <c r="M15" s="50">
        <f>+M16+M17+M18+M19</f>
        <v>5849</v>
      </c>
      <c r="N15" s="50">
        <f t="shared" si="16"/>
        <v>5849</v>
      </c>
      <c r="O15" s="50">
        <f t="shared" si="16"/>
        <v>5849</v>
      </c>
      <c r="P15" s="50">
        <f t="shared" si="16"/>
        <v>0</v>
      </c>
      <c r="Q15" s="50">
        <f t="shared" si="16"/>
        <v>0</v>
      </c>
      <c r="R15" s="50">
        <f t="shared" si="16"/>
        <v>0</v>
      </c>
      <c r="S15" s="50">
        <f t="shared" si="16"/>
        <v>0</v>
      </c>
      <c r="T15" s="24"/>
      <c r="U15" s="16"/>
    </row>
    <row r="16" spans="1:33" s="25" customFormat="1" ht="51" x14ac:dyDescent="0.25">
      <c r="A16" s="16">
        <v>1</v>
      </c>
      <c r="B16" s="34" t="s">
        <v>40</v>
      </c>
      <c r="C16" s="30" t="s">
        <v>41</v>
      </c>
      <c r="D16" s="30" t="s">
        <v>42</v>
      </c>
      <c r="E16" s="30" t="s">
        <v>43</v>
      </c>
      <c r="F16" s="30" t="s">
        <v>44</v>
      </c>
      <c r="G16" s="50">
        <v>2833</v>
      </c>
      <c r="H16" s="50"/>
      <c r="I16" s="50">
        <v>2619.7060000000001</v>
      </c>
      <c r="J16" s="50">
        <v>2270</v>
      </c>
      <c r="K16" s="50">
        <f>+L16+M16</f>
        <v>348.99600000000015</v>
      </c>
      <c r="L16" s="50"/>
      <c r="M16" s="50">
        <f>+I16-J16-0.71</f>
        <v>348.99600000000015</v>
      </c>
      <c r="N16" s="50">
        <f>+O16+P16+Q16+R16+S16</f>
        <v>348.99600000000015</v>
      </c>
      <c r="O16" s="50">
        <f>+M16</f>
        <v>348.99600000000015</v>
      </c>
      <c r="P16" s="50"/>
      <c r="Q16" s="50"/>
      <c r="R16" s="50"/>
      <c r="S16" s="50"/>
      <c r="T16" s="1" t="s">
        <v>45</v>
      </c>
      <c r="U16" s="16" t="s">
        <v>233</v>
      </c>
    </row>
    <row r="17" spans="1:21" s="25" customFormat="1" ht="51" x14ac:dyDescent="0.25">
      <c r="A17" s="30">
        <v>2</v>
      </c>
      <c r="B17" s="34" t="s">
        <v>46</v>
      </c>
      <c r="C17" s="30" t="s">
        <v>47</v>
      </c>
      <c r="D17" s="30" t="s">
        <v>48</v>
      </c>
      <c r="E17" s="30" t="s">
        <v>49</v>
      </c>
      <c r="F17" s="30" t="s">
        <v>50</v>
      </c>
      <c r="G17" s="76">
        <v>4070</v>
      </c>
      <c r="H17" s="50"/>
      <c r="I17" s="50">
        <v>4069.3939999999998</v>
      </c>
      <c r="J17" s="50">
        <v>1850</v>
      </c>
      <c r="K17" s="50">
        <f>+L17+M17</f>
        <v>2219.0039999999999</v>
      </c>
      <c r="L17" s="50"/>
      <c r="M17" s="50">
        <f>+I17-J17-0.39</f>
        <v>2219.0039999999999</v>
      </c>
      <c r="N17" s="50">
        <f t="shared" ref="N17:N24" si="17">+O17+P17+Q17+R17+S17</f>
        <v>2219.0039999999999</v>
      </c>
      <c r="O17" s="50">
        <f>+M17</f>
        <v>2219.0039999999999</v>
      </c>
      <c r="P17" s="50"/>
      <c r="Q17" s="50"/>
      <c r="R17" s="50"/>
      <c r="S17" s="50"/>
      <c r="T17" s="1" t="s">
        <v>45</v>
      </c>
      <c r="U17" s="16" t="s">
        <v>233</v>
      </c>
    </row>
    <row r="18" spans="1:21" s="25" customFormat="1" ht="51" x14ac:dyDescent="0.25">
      <c r="A18" s="30">
        <v>3</v>
      </c>
      <c r="B18" s="34" t="s">
        <v>51</v>
      </c>
      <c r="C18" s="30" t="s">
        <v>52</v>
      </c>
      <c r="D18" s="30" t="s">
        <v>48</v>
      </c>
      <c r="E18" s="30" t="s">
        <v>49</v>
      </c>
      <c r="F18" s="30" t="s">
        <v>53</v>
      </c>
      <c r="G18" s="76">
        <v>5327</v>
      </c>
      <c r="H18" s="50"/>
      <c r="I18" s="50">
        <v>5327</v>
      </c>
      <c r="J18" s="50">
        <v>2133</v>
      </c>
      <c r="K18" s="50">
        <f>+L18+M18</f>
        <v>3194</v>
      </c>
      <c r="L18" s="50"/>
      <c r="M18" s="50">
        <f>+I18-J18</f>
        <v>3194</v>
      </c>
      <c r="N18" s="50">
        <f t="shared" si="17"/>
        <v>3194</v>
      </c>
      <c r="O18" s="50">
        <f>+M18</f>
        <v>3194</v>
      </c>
      <c r="P18" s="50"/>
      <c r="Q18" s="50"/>
      <c r="R18" s="50"/>
      <c r="S18" s="50"/>
      <c r="T18" s="1" t="s">
        <v>45</v>
      </c>
      <c r="U18" s="16" t="s">
        <v>233</v>
      </c>
    </row>
    <row r="19" spans="1:21" s="25" customFormat="1" ht="51" x14ac:dyDescent="0.25">
      <c r="A19" s="30">
        <v>4</v>
      </c>
      <c r="B19" s="34" t="s">
        <v>54</v>
      </c>
      <c r="C19" s="30" t="s">
        <v>55</v>
      </c>
      <c r="D19" s="30" t="s">
        <v>56</v>
      </c>
      <c r="E19" s="30" t="s">
        <v>57</v>
      </c>
      <c r="F19" s="30" t="s">
        <v>58</v>
      </c>
      <c r="G19" s="76">
        <v>3074</v>
      </c>
      <c r="H19" s="50"/>
      <c r="I19" s="50">
        <v>2956</v>
      </c>
      <c r="J19" s="50">
        <f>1500+1369</f>
        <v>2869</v>
      </c>
      <c r="K19" s="50">
        <f>+L19+M19</f>
        <v>87</v>
      </c>
      <c r="L19" s="50"/>
      <c r="M19" s="50">
        <f>+I19-J19</f>
        <v>87</v>
      </c>
      <c r="N19" s="50">
        <f t="shared" si="17"/>
        <v>87</v>
      </c>
      <c r="O19" s="50">
        <f>+M19</f>
        <v>87</v>
      </c>
      <c r="P19" s="50"/>
      <c r="Q19" s="50"/>
      <c r="R19" s="50"/>
      <c r="S19" s="50"/>
      <c r="T19" s="1" t="s">
        <v>45</v>
      </c>
      <c r="U19" s="16" t="s">
        <v>233</v>
      </c>
    </row>
    <row r="20" spans="1:21" s="25" customFormat="1" ht="12.75" x14ac:dyDescent="0.25">
      <c r="A20" s="30" t="s">
        <v>29</v>
      </c>
      <c r="B20" s="34" t="s">
        <v>24</v>
      </c>
      <c r="C20" s="30"/>
      <c r="D20" s="30"/>
      <c r="E20" s="30"/>
      <c r="F20" s="30"/>
      <c r="G20" s="76">
        <f>+G21+G22</f>
        <v>7300</v>
      </c>
      <c r="H20" s="76">
        <f t="shared" ref="H20:S20" si="18">+H21+H22</f>
        <v>0</v>
      </c>
      <c r="I20" s="76">
        <f t="shared" si="18"/>
        <v>6985</v>
      </c>
      <c r="J20" s="76">
        <f t="shared" si="18"/>
        <v>1973</v>
      </c>
      <c r="K20" s="76">
        <f>+K21+K22</f>
        <v>1357</v>
      </c>
      <c r="L20" s="76">
        <f t="shared" si="18"/>
        <v>0</v>
      </c>
      <c r="M20" s="76">
        <f t="shared" si="18"/>
        <v>1357</v>
      </c>
      <c r="N20" s="76">
        <f t="shared" si="18"/>
        <v>1357</v>
      </c>
      <c r="O20" s="76">
        <f t="shared" si="18"/>
        <v>0</v>
      </c>
      <c r="P20" s="76">
        <f t="shared" si="18"/>
        <v>949.89999999999986</v>
      </c>
      <c r="Q20" s="76">
        <f t="shared" si="18"/>
        <v>407.10000000000014</v>
      </c>
      <c r="R20" s="76">
        <f t="shared" si="18"/>
        <v>0</v>
      </c>
      <c r="S20" s="76">
        <f t="shared" si="18"/>
        <v>0</v>
      </c>
      <c r="T20" s="24"/>
      <c r="U20" s="16"/>
    </row>
    <row r="21" spans="1:21" s="25" customFormat="1" ht="51" x14ac:dyDescent="0.25">
      <c r="A21" s="16">
        <v>5</v>
      </c>
      <c r="B21" s="34" t="s">
        <v>59</v>
      </c>
      <c r="C21" s="30" t="s">
        <v>60</v>
      </c>
      <c r="D21" s="30" t="s">
        <v>48</v>
      </c>
      <c r="E21" s="30" t="s">
        <v>61</v>
      </c>
      <c r="F21" s="30" t="s">
        <v>66</v>
      </c>
      <c r="G21" s="50">
        <v>5200</v>
      </c>
      <c r="H21" s="50"/>
      <c r="I21" s="50">
        <f>+G21*95%</f>
        <v>4940</v>
      </c>
      <c r="J21" s="50">
        <v>1309</v>
      </c>
      <c r="K21" s="50">
        <f>+L21+M21</f>
        <v>464</v>
      </c>
      <c r="L21" s="50"/>
      <c r="M21" s="50">
        <v>464</v>
      </c>
      <c r="N21" s="50">
        <f t="shared" si="17"/>
        <v>464</v>
      </c>
      <c r="O21" s="50"/>
      <c r="P21" s="50">
        <f>+M21*70%</f>
        <v>324.79999999999995</v>
      </c>
      <c r="Q21" s="50">
        <f>+M21-P21</f>
        <v>139.20000000000005</v>
      </c>
      <c r="R21" s="50"/>
      <c r="S21" s="50"/>
      <c r="T21" s="1" t="s">
        <v>45</v>
      </c>
      <c r="U21" s="16" t="s">
        <v>234</v>
      </c>
    </row>
    <row r="22" spans="1:21" s="25" customFormat="1" ht="51" x14ac:dyDescent="0.25">
      <c r="A22" s="16">
        <v>6</v>
      </c>
      <c r="B22" s="34" t="s">
        <v>62</v>
      </c>
      <c r="C22" s="30" t="s">
        <v>63</v>
      </c>
      <c r="D22" s="30" t="s">
        <v>64</v>
      </c>
      <c r="E22" s="30" t="s">
        <v>61</v>
      </c>
      <c r="F22" s="30" t="s">
        <v>65</v>
      </c>
      <c r="G22" s="50">
        <v>2100</v>
      </c>
      <c r="H22" s="50"/>
      <c r="I22" s="50">
        <v>2045</v>
      </c>
      <c r="J22" s="50">
        <v>664</v>
      </c>
      <c r="K22" s="50">
        <f>+L22+M22</f>
        <v>893</v>
      </c>
      <c r="L22" s="50"/>
      <c r="M22" s="50">
        <v>893</v>
      </c>
      <c r="N22" s="50">
        <f t="shared" si="17"/>
        <v>893</v>
      </c>
      <c r="O22" s="50"/>
      <c r="P22" s="50">
        <f>+M22*70%</f>
        <v>625.09999999999991</v>
      </c>
      <c r="Q22" s="50">
        <f>+M22-P22</f>
        <v>267.90000000000009</v>
      </c>
      <c r="R22" s="50"/>
      <c r="S22" s="50"/>
      <c r="T22" s="1" t="s">
        <v>45</v>
      </c>
      <c r="U22" s="16" t="s">
        <v>234</v>
      </c>
    </row>
    <row r="23" spans="1:21" s="10" customFormat="1" ht="25.5" x14ac:dyDescent="0.25">
      <c r="A23" s="16" t="s">
        <v>29</v>
      </c>
      <c r="B23" s="29" t="s">
        <v>229</v>
      </c>
      <c r="C23" s="30"/>
      <c r="D23" s="30"/>
      <c r="E23" s="30"/>
      <c r="F23" s="30"/>
      <c r="G23" s="50"/>
      <c r="H23" s="50"/>
      <c r="I23" s="50"/>
      <c r="J23" s="50"/>
      <c r="K23" s="50">
        <f>K24</f>
        <v>2402</v>
      </c>
      <c r="L23" s="50">
        <f t="shared" ref="L23:S23" si="19">L24</f>
        <v>0</v>
      </c>
      <c r="M23" s="50">
        <f t="shared" si="19"/>
        <v>2402</v>
      </c>
      <c r="N23" s="50">
        <f t="shared" si="19"/>
        <v>2402</v>
      </c>
      <c r="O23" s="50">
        <f t="shared" si="19"/>
        <v>0</v>
      </c>
      <c r="P23" s="50">
        <f t="shared" si="19"/>
        <v>0</v>
      </c>
      <c r="Q23" s="50">
        <f t="shared" si="19"/>
        <v>0</v>
      </c>
      <c r="R23" s="50">
        <f>R24</f>
        <v>960.80000000000007</v>
      </c>
      <c r="S23" s="50">
        <f t="shared" si="19"/>
        <v>1441.1999999999998</v>
      </c>
      <c r="T23" s="1"/>
      <c r="U23" s="16"/>
    </row>
    <row r="24" spans="1:21" s="25" customFormat="1" ht="25.5" x14ac:dyDescent="0.25">
      <c r="A24" s="16"/>
      <c r="B24" s="29" t="s">
        <v>230</v>
      </c>
      <c r="C24" s="31" t="s">
        <v>231</v>
      </c>
      <c r="D24" s="32" t="s">
        <v>232</v>
      </c>
      <c r="E24" s="33">
        <v>2024</v>
      </c>
      <c r="F24" s="30"/>
      <c r="G24" s="50"/>
      <c r="H24" s="50"/>
      <c r="I24" s="50"/>
      <c r="J24" s="50"/>
      <c r="K24" s="50">
        <f>+L24+M24</f>
        <v>2402</v>
      </c>
      <c r="L24" s="50"/>
      <c r="M24" s="50">
        <v>2402</v>
      </c>
      <c r="N24" s="50">
        <f t="shared" si="17"/>
        <v>2402</v>
      </c>
      <c r="O24" s="50"/>
      <c r="P24" s="50"/>
      <c r="Q24" s="50"/>
      <c r="R24" s="50">
        <f>+K24*40%</f>
        <v>960.80000000000007</v>
      </c>
      <c r="S24" s="50">
        <f>+K24-R24</f>
        <v>1441.1999999999998</v>
      </c>
      <c r="T24" s="1"/>
      <c r="U24" s="16" t="s">
        <v>235</v>
      </c>
    </row>
    <row r="25" spans="1:21" s="28" customFormat="1" ht="25.5" x14ac:dyDescent="0.25">
      <c r="A25" s="19" t="s">
        <v>67</v>
      </c>
      <c r="B25" s="23" t="s">
        <v>68</v>
      </c>
      <c r="C25" s="27"/>
      <c r="D25" s="27"/>
      <c r="E25" s="19"/>
      <c r="F25" s="27"/>
      <c r="G25" s="38">
        <f>+G26+G29</f>
        <v>94435</v>
      </c>
      <c r="H25" s="38">
        <f t="shared" ref="H25:S25" si="20">+H26+H29</f>
        <v>0</v>
      </c>
      <c r="I25" s="38">
        <f t="shared" si="20"/>
        <v>22445</v>
      </c>
      <c r="J25" s="38">
        <f t="shared" si="20"/>
        <v>19049.878000000001</v>
      </c>
      <c r="K25" s="38">
        <f t="shared" si="20"/>
        <v>9000</v>
      </c>
      <c r="L25" s="38">
        <f t="shared" si="20"/>
        <v>0</v>
      </c>
      <c r="M25" s="38">
        <f t="shared" si="20"/>
        <v>9000</v>
      </c>
      <c r="N25" s="38">
        <f t="shared" si="20"/>
        <v>9000</v>
      </c>
      <c r="O25" s="38">
        <f t="shared" si="20"/>
        <v>3587</v>
      </c>
      <c r="P25" s="38">
        <f t="shared" si="20"/>
        <v>1199.0999999999999</v>
      </c>
      <c r="Q25" s="38">
        <f t="shared" si="20"/>
        <v>513.9</v>
      </c>
      <c r="R25" s="38">
        <f t="shared" si="20"/>
        <v>1600</v>
      </c>
      <c r="S25" s="38">
        <f t="shared" si="20"/>
        <v>2100</v>
      </c>
      <c r="T25" s="27"/>
      <c r="U25" s="19"/>
    </row>
    <row r="26" spans="1:21" s="25" customFormat="1" ht="12.75" x14ac:dyDescent="0.25">
      <c r="A26" s="16" t="s">
        <v>29</v>
      </c>
      <c r="B26" s="34" t="s">
        <v>69</v>
      </c>
      <c r="C26" s="24"/>
      <c r="D26" s="24"/>
      <c r="E26" s="16"/>
      <c r="F26" s="24"/>
      <c r="G26" s="50">
        <f>+G27+G28</f>
        <v>5450</v>
      </c>
      <c r="H26" s="50">
        <f t="shared" ref="H26:S26" si="21">+H27+H28</f>
        <v>0</v>
      </c>
      <c r="I26" s="50">
        <f t="shared" si="21"/>
        <v>5302</v>
      </c>
      <c r="J26" s="50">
        <f t="shared" si="21"/>
        <v>3405</v>
      </c>
      <c r="K26" s="50">
        <f t="shared" si="21"/>
        <v>1500</v>
      </c>
      <c r="L26" s="50">
        <f t="shared" si="21"/>
        <v>0</v>
      </c>
      <c r="M26" s="50">
        <f t="shared" si="21"/>
        <v>1500</v>
      </c>
      <c r="N26" s="50">
        <f t="shared" si="21"/>
        <v>1500</v>
      </c>
      <c r="O26" s="50">
        <f t="shared" si="21"/>
        <v>1500</v>
      </c>
      <c r="P26" s="50">
        <f t="shared" si="21"/>
        <v>0</v>
      </c>
      <c r="Q26" s="50">
        <f t="shared" si="21"/>
        <v>0</v>
      </c>
      <c r="R26" s="50">
        <f t="shared" si="21"/>
        <v>0</v>
      </c>
      <c r="S26" s="50">
        <f t="shared" si="21"/>
        <v>0</v>
      </c>
      <c r="T26" s="24"/>
      <c r="U26" s="16"/>
    </row>
    <row r="27" spans="1:21" s="25" customFormat="1" ht="76.5" x14ac:dyDescent="0.25">
      <c r="A27" s="16">
        <v>1</v>
      </c>
      <c r="B27" s="34" t="s">
        <v>70</v>
      </c>
      <c r="C27" s="30" t="s">
        <v>60</v>
      </c>
      <c r="D27" s="30" t="s">
        <v>71</v>
      </c>
      <c r="E27" s="30" t="s">
        <v>49</v>
      </c>
      <c r="F27" s="30" t="s">
        <v>72</v>
      </c>
      <c r="G27" s="76">
        <v>5200</v>
      </c>
      <c r="H27" s="50"/>
      <c r="I27" s="50">
        <v>5052</v>
      </c>
      <c r="J27" s="50">
        <v>3205</v>
      </c>
      <c r="K27" s="50">
        <f>+L27+M27</f>
        <v>1450</v>
      </c>
      <c r="L27" s="50"/>
      <c r="M27" s="50">
        <v>1450</v>
      </c>
      <c r="N27" s="50">
        <f t="shared" ref="N27:N28" si="22">+O27+P27+Q27+R27+S27</f>
        <v>1450</v>
      </c>
      <c r="O27" s="50">
        <f>+M27</f>
        <v>1450</v>
      </c>
      <c r="P27" s="50"/>
      <c r="Q27" s="50"/>
      <c r="R27" s="50"/>
      <c r="S27" s="50"/>
      <c r="T27" s="2" t="s">
        <v>73</v>
      </c>
      <c r="U27" s="16" t="s">
        <v>233</v>
      </c>
    </row>
    <row r="28" spans="1:21" s="25" customFormat="1" ht="38.25" x14ac:dyDescent="0.25">
      <c r="A28" s="16">
        <v>2</v>
      </c>
      <c r="B28" s="34" t="s">
        <v>74</v>
      </c>
      <c r="C28" s="30" t="s">
        <v>75</v>
      </c>
      <c r="D28" s="30" t="s">
        <v>71</v>
      </c>
      <c r="E28" s="30">
        <v>2023</v>
      </c>
      <c r="F28" s="30" t="s">
        <v>76</v>
      </c>
      <c r="G28" s="76">
        <v>250</v>
      </c>
      <c r="H28" s="50"/>
      <c r="I28" s="50">
        <v>250</v>
      </c>
      <c r="J28" s="50">
        <v>200</v>
      </c>
      <c r="K28" s="50">
        <f>+L28+M28</f>
        <v>50</v>
      </c>
      <c r="L28" s="50"/>
      <c r="M28" s="50">
        <v>50</v>
      </c>
      <c r="N28" s="50">
        <f t="shared" si="22"/>
        <v>50</v>
      </c>
      <c r="O28" s="50">
        <f>+M28</f>
        <v>50</v>
      </c>
      <c r="P28" s="50"/>
      <c r="Q28" s="50"/>
      <c r="R28" s="50"/>
      <c r="S28" s="50"/>
      <c r="T28" s="2" t="s">
        <v>73</v>
      </c>
      <c r="U28" s="16" t="s">
        <v>233</v>
      </c>
    </row>
    <row r="29" spans="1:21" s="25" customFormat="1" ht="12.75" x14ac:dyDescent="0.25">
      <c r="A29" s="16" t="s">
        <v>29</v>
      </c>
      <c r="B29" s="34" t="s">
        <v>77</v>
      </c>
      <c r="C29" s="24"/>
      <c r="D29" s="24"/>
      <c r="E29" s="16"/>
      <c r="F29" s="24"/>
      <c r="G29" s="50">
        <f>+G30+G31+G32+G33+G34+G35+G36+G37+G38+G39+G40</f>
        <v>88985</v>
      </c>
      <c r="H29" s="50">
        <f t="shared" ref="H29:S29" si="23">+H30+H31+H32+H33+H34+H35+H36+H37+H38+H39+H40</f>
        <v>0</v>
      </c>
      <c r="I29" s="50">
        <f t="shared" si="23"/>
        <v>17143</v>
      </c>
      <c r="J29" s="50">
        <f t="shared" si="23"/>
        <v>15644.878000000001</v>
      </c>
      <c r="K29" s="50">
        <f t="shared" si="23"/>
        <v>7500</v>
      </c>
      <c r="L29" s="50">
        <f t="shared" si="23"/>
        <v>0</v>
      </c>
      <c r="M29" s="50">
        <f t="shared" si="23"/>
        <v>7500</v>
      </c>
      <c r="N29" s="50">
        <f t="shared" si="23"/>
        <v>7500</v>
      </c>
      <c r="O29" s="50">
        <f t="shared" si="23"/>
        <v>2087</v>
      </c>
      <c r="P29" s="50">
        <f t="shared" si="23"/>
        <v>1199.0999999999999</v>
      </c>
      <c r="Q29" s="50">
        <f t="shared" si="23"/>
        <v>513.9</v>
      </c>
      <c r="R29" s="50">
        <f t="shared" si="23"/>
        <v>1600</v>
      </c>
      <c r="S29" s="50">
        <f t="shared" si="23"/>
        <v>2100</v>
      </c>
      <c r="T29" s="24"/>
      <c r="U29" s="16"/>
    </row>
    <row r="30" spans="1:21" s="25" customFormat="1" ht="51" x14ac:dyDescent="0.25">
      <c r="A30" s="16">
        <v>3</v>
      </c>
      <c r="B30" s="34" t="s">
        <v>78</v>
      </c>
      <c r="C30" s="30" t="s">
        <v>79</v>
      </c>
      <c r="D30" s="30" t="s">
        <v>80</v>
      </c>
      <c r="E30" s="30">
        <v>2021</v>
      </c>
      <c r="F30" s="30" t="s">
        <v>81</v>
      </c>
      <c r="G30" s="76">
        <v>811</v>
      </c>
      <c r="H30" s="50"/>
      <c r="I30" s="50">
        <v>811</v>
      </c>
      <c r="J30" s="50">
        <v>616</v>
      </c>
      <c r="K30" s="50">
        <f>+L30+M30</f>
        <v>195</v>
      </c>
      <c r="L30" s="50"/>
      <c r="M30" s="50">
        <v>195</v>
      </c>
      <c r="N30" s="50">
        <f t="shared" ref="N30:N40" si="24">+O30+P30+Q30+R30+S30</f>
        <v>195</v>
      </c>
      <c r="O30" s="50">
        <f>+M30</f>
        <v>195</v>
      </c>
      <c r="P30" s="50"/>
      <c r="Q30" s="50"/>
      <c r="R30" s="50"/>
      <c r="S30" s="50"/>
      <c r="T30" s="1" t="s">
        <v>45</v>
      </c>
      <c r="U30" s="16" t="s">
        <v>233</v>
      </c>
    </row>
    <row r="31" spans="1:21" s="25" customFormat="1" ht="51" x14ac:dyDescent="0.25">
      <c r="A31" s="16">
        <v>4</v>
      </c>
      <c r="B31" s="34" t="s">
        <v>82</v>
      </c>
      <c r="C31" s="30" t="s">
        <v>79</v>
      </c>
      <c r="D31" s="30" t="s">
        <v>83</v>
      </c>
      <c r="E31" s="30">
        <v>2022</v>
      </c>
      <c r="F31" s="30" t="s">
        <v>84</v>
      </c>
      <c r="G31" s="76">
        <v>950</v>
      </c>
      <c r="H31" s="50"/>
      <c r="I31" s="50">
        <v>942</v>
      </c>
      <c r="J31" s="50">
        <v>500</v>
      </c>
      <c r="K31" s="50">
        <f t="shared" ref="K31:K40" si="25">+L31+M31</f>
        <v>442</v>
      </c>
      <c r="L31" s="50"/>
      <c r="M31" s="50">
        <v>442</v>
      </c>
      <c r="N31" s="50">
        <f t="shared" si="24"/>
        <v>442</v>
      </c>
      <c r="O31" s="50">
        <f>+M31</f>
        <v>442</v>
      </c>
      <c r="P31" s="50"/>
      <c r="Q31" s="50"/>
      <c r="R31" s="50"/>
      <c r="S31" s="50"/>
      <c r="T31" s="1" t="s">
        <v>45</v>
      </c>
      <c r="U31" s="16" t="s">
        <v>233</v>
      </c>
    </row>
    <row r="32" spans="1:21" s="25" customFormat="1" ht="51" x14ac:dyDescent="0.25">
      <c r="A32" s="16">
        <v>5</v>
      </c>
      <c r="B32" s="34" t="s">
        <v>85</v>
      </c>
      <c r="C32" s="30" t="s">
        <v>86</v>
      </c>
      <c r="D32" s="30" t="s">
        <v>87</v>
      </c>
      <c r="E32" s="30">
        <v>2022</v>
      </c>
      <c r="F32" s="30" t="s">
        <v>88</v>
      </c>
      <c r="G32" s="76">
        <v>700</v>
      </c>
      <c r="H32" s="50"/>
      <c r="I32" s="50">
        <v>671</v>
      </c>
      <c r="J32" s="50">
        <v>200</v>
      </c>
      <c r="K32" s="50">
        <f t="shared" si="25"/>
        <v>471</v>
      </c>
      <c r="L32" s="50"/>
      <c r="M32" s="50">
        <v>471</v>
      </c>
      <c r="N32" s="50">
        <f t="shared" si="24"/>
        <v>471</v>
      </c>
      <c r="O32" s="50">
        <f>+M32</f>
        <v>471</v>
      </c>
      <c r="P32" s="50"/>
      <c r="Q32" s="50"/>
      <c r="R32" s="50"/>
      <c r="S32" s="50"/>
      <c r="T32" s="1" t="s">
        <v>45</v>
      </c>
      <c r="U32" s="16" t="s">
        <v>233</v>
      </c>
    </row>
    <row r="33" spans="1:21" s="25" customFormat="1" ht="51" x14ac:dyDescent="0.25">
      <c r="A33" s="16">
        <v>6</v>
      </c>
      <c r="B33" s="34" t="s">
        <v>89</v>
      </c>
      <c r="C33" s="30" t="s">
        <v>90</v>
      </c>
      <c r="D33" s="30" t="s">
        <v>91</v>
      </c>
      <c r="E33" s="30">
        <v>2022</v>
      </c>
      <c r="F33" s="30" t="s">
        <v>92</v>
      </c>
      <c r="G33" s="76">
        <v>800</v>
      </c>
      <c r="H33" s="50"/>
      <c r="I33" s="50">
        <v>779</v>
      </c>
      <c r="J33" s="50">
        <v>100</v>
      </c>
      <c r="K33" s="50">
        <f t="shared" si="25"/>
        <v>679</v>
      </c>
      <c r="L33" s="50"/>
      <c r="M33" s="50">
        <v>679</v>
      </c>
      <c r="N33" s="50">
        <f t="shared" si="24"/>
        <v>679</v>
      </c>
      <c r="O33" s="50">
        <f>+M33</f>
        <v>679</v>
      </c>
      <c r="P33" s="50"/>
      <c r="Q33" s="50"/>
      <c r="R33" s="50"/>
      <c r="S33" s="50"/>
      <c r="T33" s="1" t="s">
        <v>45</v>
      </c>
      <c r="U33" s="16" t="s">
        <v>233</v>
      </c>
    </row>
    <row r="34" spans="1:21" s="25" customFormat="1" ht="51" x14ac:dyDescent="0.25">
      <c r="A34" s="16">
        <v>7</v>
      </c>
      <c r="B34" s="34" t="s">
        <v>93</v>
      </c>
      <c r="C34" s="30" t="s">
        <v>60</v>
      </c>
      <c r="D34" s="30" t="s">
        <v>94</v>
      </c>
      <c r="E34" s="30" t="s">
        <v>95</v>
      </c>
      <c r="F34" s="30" t="s">
        <v>96</v>
      </c>
      <c r="G34" s="76">
        <v>39800</v>
      </c>
      <c r="H34" s="50"/>
      <c r="I34" s="50"/>
      <c r="J34" s="50"/>
      <c r="K34" s="50">
        <f t="shared" si="25"/>
        <v>3500</v>
      </c>
      <c r="L34" s="50"/>
      <c r="M34" s="50">
        <v>3500</v>
      </c>
      <c r="N34" s="50">
        <f t="shared" si="24"/>
        <v>3500</v>
      </c>
      <c r="O34" s="50"/>
      <c r="P34" s="50"/>
      <c r="Q34" s="50"/>
      <c r="R34" s="50">
        <f>+K34*40%</f>
        <v>1400</v>
      </c>
      <c r="S34" s="50">
        <f>+K34-R34</f>
        <v>2100</v>
      </c>
      <c r="T34" s="1" t="s">
        <v>45</v>
      </c>
      <c r="U34" s="16" t="s">
        <v>235</v>
      </c>
    </row>
    <row r="35" spans="1:21" s="25" customFormat="1" ht="51" x14ac:dyDescent="0.25">
      <c r="A35" s="16">
        <v>8</v>
      </c>
      <c r="B35" s="34" t="s">
        <v>97</v>
      </c>
      <c r="C35" s="30" t="s">
        <v>98</v>
      </c>
      <c r="D35" s="30" t="s">
        <v>87</v>
      </c>
      <c r="E35" s="30">
        <v>2022</v>
      </c>
      <c r="F35" s="30" t="s">
        <v>99</v>
      </c>
      <c r="G35" s="76">
        <v>1800</v>
      </c>
      <c r="H35" s="50"/>
      <c r="I35" s="50">
        <v>1800</v>
      </c>
      <c r="J35" s="50">
        <v>220</v>
      </c>
      <c r="K35" s="50">
        <f t="shared" si="25"/>
        <v>300</v>
      </c>
      <c r="L35" s="50"/>
      <c r="M35" s="50">
        <v>300</v>
      </c>
      <c r="N35" s="50">
        <f t="shared" si="24"/>
        <v>300</v>
      </c>
      <c r="O35" s="50">
        <f>+M35</f>
        <v>300</v>
      </c>
      <c r="P35" s="50"/>
      <c r="Q35" s="50"/>
      <c r="R35" s="50"/>
      <c r="S35" s="50"/>
      <c r="T35" s="1" t="s">
        <v>45</v>
      </c>
      <c r="U35" s="16" t="s">
        <v>233</v>
      </c>
    </row>
    <row r="36" spans="1:21" s="25" customFormat="1" ht="51" x14ac:dyDescent="0.25">
      <c r="A36" s="16">
        <v>9</v>
      </c>
      <c r="B36" s="34" t="s">
        <v>59</v>
      </c>
      <c r="C36" s="30" t="s">
        <v>60</v>
      </c>
      <c r="D36" s="30" t="s">
        <v>48</v>
      </c>
      <c r="E36" s="30">
        <v>2022</v>
      </c>
      <c r="F36" s="30" t="s">
        <v>100</v>
      </c>
      <c r="G36" s="76">
        <v>5200</v>
      </c>
      <c r="H36" s="50"/>
      <c r="I36" s="50">
        <f>+I21</f>
        <v>4940</v>
      </c>
      <c r="J36" s="50">
        <v>508.87799999999999</v>
      </c>
      <c r="K36" s="50">
        <f t="shared" si="25"/>
        <v>515</v>
      </c>
      <c r="L36" s="50"/>
      <c r="M36" s="50">
        <v>515</v>
      </c>
      <c r="N36" s="50">
        <f t="shared" si="24"/>
        <v>515</v>
      </c>
      <c r="O36" s="50"/>
      <c r="P36" s="50">
        <f>+M36*70%</f>
        <v>360.5</v>
      </c>
      <c r="Q36" s="50">
        <f>+M36-P36</f>
        <v>154.5</v>
      </c>
      <c r="R36" s="50"/>
      <c r="S36" s="50"/>
      <c r="T36" s="1" t="s">
        <v>45</v>
      </c>
      <c r="U36" s="16" t="s">
        <v>234</v>
      </c>
    </row>
    <row r="37" spans="1:21" s="25" customFormat="1" ht="51" x14ac:dyDescent="0.25">
      <c r="A37" s="16">
        <v>10</v>
      </c>
      <c r="B37" s="34" t="s">
        <v>101</v>
      </c>
      <c r="C37" s="30" t="s">
        <v>102</v>
      </c>
      <c r="D37" s="30" t="s">
        <v>103</v>
      </c>
      <c r="E37" s="30" t="s">
        <v>57</v>
      </c>
      <c r="F37" s="30" t="s">
        <v>104</v>
      </c>
      <c r="G37" s="76">
        <v>4300</v>
      </c>
      <c r="H37" s="50"/>
      <c r="I37" s="50">
        <f>+G37*80%</f>
        <v>3440</v>
      </c>
      <c r="J37" s="50">
        <v>500</v>
      </c>
      <c r="K37" s="50">
        <f t="shared" si="25"/>
        <v>198</v>
      </c>
      <c r="L37" s="50"/>
      <c r="M37" s="50">
        <v>198</v>
      </c>
      <c r="N37" s="50">
        <f t="shared" si="24"/>
        <v>198</v>
      </c>
      <c r="O37" s="50"/>
      <c r="P37" s="50">
        <f>+M37*70%</f>
        <v>138.6</v>
      </c>
      <c r="Q37" s="50">
        <f>+M37-P37</f>
        <v>59.400000000000006</v>
      </c>
      <c r="R37" s="50"/>
      <c r="S37" s="50"/>
      <c r="T37" s="1" t="s">
        <v>45</v>
      </c>
      <c r="U37" s="16" t="s">
        <v>234</v>
      </c>
    </row>
    <row r="38" spans="1:21" s="25" customFormat="1" ht="51" x14ac:dyDescent="0.25">
      <c r="A38" s="16">
        <v>11</v>
      </c>
      <c r="B38" s="34" t="s">
        <v>105</v>
      </c>
      <c r="C38" s="30" t="s">
        <v>106</v>
      </c>
      <c r="D38" s="30" t="s">
        <v>103</v>
      </c>
      <c r="E38" s="30" t="s">
        <v>57</v>
      </c>
      <c r="F38" s="30" t="s">
        <v>107</v>
      </c>
      <c r="G38" s="76">
        <v>4700</v>
      </c>
      <c r="H38" s="50"/>
      <c r="I38" s="50">
        <f>+G38*80%</f>
        <v>3760</v>
      </c>
      <c r="J38" s="50">
        <v>500</v>
      </c>
      <c r="K38" s="50">
        <f t="shared" si="25"/>
        <v>250</v>
      </c>
      <c r="L38" s="50"/>
      <c r="M38" s="50">
        <v>250</v>
      </c>
      <c r="N38" s="50">
        <f t="shared" si="24"/>
        <v>250</v>
      </c>
      <c r="O38" s="50"/>
      <c r="P38" s="50">
        <f>+M38*70%</f>
        <v>175</v>
      </c>
      <c r="Q38" s="50">
        <f>+M38-P38</f>
        <v>75</v>
      </c>
      <c r="R38" s="50"/>
      <c r="S38" s="50"/>
      <c r="T38" s="1" t="s">
        <v>45</v>
      </c>
      <c r="U38" s="16" t="s">
        <v>234</v>
      </c>
    </row>
    <row r="39" spans="1:21" s="25" customFormat="1" ht="51" x14ac:dyDescent="0.25">
      <c r="A39" s="16">
        <v>12</v>
      </c>
      <c r="B39" s="34" t="s">
        <v>35</v>
      </c>
      <c r="C39" s="30" t="s">
        <v>110</v>
      </c>
      <c r="D39" s="30" t="s">
        <v>103</v>
      </c>
      <c r="E39" s="30" t="s">
        <v>57</v>
      </c>
      <c r="F39" s="30" t="s">
        <v>109</v>
      </c>
      <c r="G39" s="76">
        <v>23749</v>
      </c>
      <c r="H39" s="50"/>
      <c r="I39" s="50"/>
      <c r="J39" s="50">
        <v>12500</v>
      </c>
      <c r="K39" s="50">
        <f t="shared" si="25"/>
        <v>750</v>
      </c>
      <c r="L39" s="50"/>
      <c r="M39" s="50">
        <v>750</v>
      </c>
      <c r="N39" s="50">
        <f t="shared" si="24"/>
        <v>750</v>
      </c>
      <c r="O39" s="50"/>
      <c r="P39" s="50">
        <f>+M39*70%</f>
        <v>525</v>
      </c>
      <c r="Q39" s="50">
        <f>+M39-P39</f>
        <v>225</v>
      </c>
      <c r="R39" s="50"/>
      <c r="S39" s="50"/>
      <c r="T39" s="1" t="s">
        <v>45</v>
      </c>
      <c r="U39" s="16" t="s">
        <v>234</v>
      </c>
    </row>
    <row r="40" spans="1:21" s="25" customFormat="1" ht="51" x14ac:dyDescent="0.25">
      <c r="A40" s="16">
        <v>13</v>
      </c>
      <c r="B40" s="34" t="s">
        <v>62</v>
      </c>
      <c r="C40" s="30" t="s">
        <v>63</v>
      </c>
      <c r="D40" s="30" t="s">
        <v>103</v>
      </c>
      <c r="E40" s="30">
        <v>2024</v>
      </c>
      <c r="F40" s="24"/>
      <c r="G40" s="50">
        <v>6175</v>
      </c>
      <c r="H40" s="50"/>
      <c r="I40" s="50"/>
      <c r="J40" s="50"/>
      <c r="K40" s="50">
        <f t="shared" si="25"/>
        <v>200</v>
      </c>
      <c r="L40" s="50"/>
      <c r="M40" s="50">
        <v>200</v>
      </c>
      <c r="N40" s="50">
        <f t="shared" si="24"/>
        <v>200</v>
      </c>
      <c r="O40" s="50"/>
      <c r="P40" s="50"/>
      <c r="Q40" s="50"/>
      <c r="R40" s="50">
        <f>+M40</f>
        <v>200</v>
      </c>
      <c r="S40" s="50"/>
      <c r="T40" s="1" t="s">
        <v>45</v>
      </c>
      <c r="U40" s="16" t="s">
        <v>235</v>
      </c>
    </row>
    <row r="41" spans="1:21" s="28" customFormat="1" ht="12.75" x14ac:dyDescent="0.25">
      <c r="A41" s="19" t="s">
        <v>111</v>
      </c>
      <c r="B41" s="20" t="s">
        <v>112</v>
      </c>
      <c r="C41" s="27"/>
      <c r="D41" s="27"/>
      <c r="E41" s="19"/>
      <c r="F41" s="27"/>
      <c r="G41" s="38">
        <f>+G42+G44</f>
        <v>28177</v>
      </c>
      <c r="H41" s="38">
        <f t="shared" ref="H41:S41" si="26">+H42+H44</f>
        <v>0</v>
      </c>
      <c r="I41" s="38">
        <f t="shared" si="26"/>
        <v>19041.05</v>
      </c>
      <c r="J41" s="38">
        <f t="shared" si="26"/>
        <v>13172</v>
      </c>
      <c r="K41" s="38">
        <f>+K42+K44</f>
        <v>4400</v>
      </c>
      <c r="L41" s="38">
        <f t="shared" si="26"/>
        <v>0</v>
      </c>
      <c r="M41" s="38">
        <f t="shared" si="26"/>
        <v>4400</v>
      </c>
      <c r="N41" s="38">
        <f t="shared" si="26"/>
        <v>4400</v>
      </c>
      <c r="O41" s="38">
        <f t="shared" si="26"/>
        <v>3950</v>
      </c>
      <c r="P41" s="38">
        <f t="shared" si="26"/>
        <v>350</v>
      </c>
      <c r="Q41" s="38">
        <f t="shared" si="26"/>
        <v>0</v>
      </c>
      <c r="R41" s="38">
        <f t="shared" si="26"/>
        <v>100</v>
      </c>
      <c r="S41" s="38">
        <f t="shared" si="26"/>
        <v>0</v>
      </c>
      <c r="T41" s="27"/>
      <c r="U41" s="19"/>
    </row>
    <row r="42" spans="1:21" s="28" customFormat="1" ht="12.75" x14ac:dyDescent="0.25">
      <c r="A42" s="19" t="s">
        <v>29</v>
      </c>
      <c r="B42" s="23" t="s">
        <v>113</v>
      </c>
      <c r="C42" s="27"/>
      <c r="D42" s="27"/>
      <c r="E42" s="19"/>
      <c r="F42" s="27"/>
      <c r="G42" s="38">
        <f>+G43</f>
        <v>750</v>
      </c>
      <c r="H42" s="38">
        <f t="shared" ref="H42:S42" si="27">+H43</f>
        <v>0</v>
      </c>
      <c r="I42" s="38">
        <f t="shared" si="27"/>
        <v>0</v>
      </c>
      <c r="J42" s="38">
        <f t="shared" si="27"/>
        <v>0</v>
      </c>
      <c r="K42" s="38">
        <f t="shared" si="27"/>
        <v>100</v>
      </c>
      <c r="L42" s="38">
        <f t="shared" si="27"/>
        <v>0</v>
      </c>
      <c r="M42" s="38">
        <f t="shared" si="27"/>
        <v>100</v>
      </c>
      <c r="N42" s="38">
        <f t="shared" si="27"/>
        <v>100</v>
      </c>
      <c r="O42" s="38">
        <f t="shared" si="27"/>
        <v>0</v>
      </c>
      <c r="P42" s="38">
        <f t="shared" si="27"/>
        <v>0</v>
      </c>
      <c r="Q42" s="38">
        <f t="shared" si="27"/>
        <v>0</v>
      </c>
      <c r="R42" s="38">
        <f t="shared" si="27"/>
        <v>100</v>
      </c>
      <c r="S42" s="38">
        <f t="shared" si="27"/>
        <v>0</v>
      </c>
      <c r="T42" s="27"/>
      <c r="U42" s="19"/>
    </row>
    <row r="43" spans="1:21" s="25" customFormat="1" ht="38.25" x14ac:dyDescent="0.25">
      <c r="A43" s="30">
        <v>1</v>
      </c>
      <c r="B43" s="34" t="s">
        <v>114</v>
      </c>
      <c r="C43" s="30" t="s">
        <v>115</v>
      </c>
      <c r="D43" s="30" t="s">
        <v>116</v>
      </c>
      <c r="E43" s="30" t="s">
        <v>117</v>
      </c>
      <c r="F43" s="24"/>
      <c r="G43" s="50">
        <v>750</v>
      </c>
      <c r="H43" s="50"/>
      <c r="I43" s="50"/>
      <c r="J43" s="50"/>
      <c r="K43" s="50">
        <f t="shared" ref="K43" si="28">+L43+M43</f>
        <v>100</v>
      </c>
      <c r="L43" s="50"/>
      <c r="M43" s="50">
        <v>100</v>
      </c>
      <c r="N43" s="50">
        <f t="shared" ref="N43" si="29">+O43+P43+Q43+R43+S43</f>
        <v>100</v>
      </c>
      <c r="O43" s="50"/>
      <c r="P43" s="50"/>
      <c r="Q43" s="50"/>
      <c r="R43" s="50">
        <f>+K43</f>
        <v>100</v>
      </c>
      <c r="S43" s="50"/>
      <c r="T43" s="2" t="s">
        <v>73</v>
      </c>
      <c r="U43" s="16" t="s">
        <v>235</v>
      </c>
    </row>
    <row r="44" spans="1:21" s="25" customFormat="1" ht="12.75" x14ac:dyDescent="0.25">
      <c r="A44" s="16" t="s">
        <v>29</v>
      </c>
      <c r="B44" s="17" t="s">
        <v>77</v>
      </c>
      <c r="C44" s="24"/>
      <c r="D44" s="24"/>
      <c r="E44" s="16"/>
      <c r="F44" s="24"/>
      <c r="G44" s="50">
        <f>+G45+G46+G47+G48+G49+G50+G51+G52+G53+G54</f>
        <v>27427</v>
      </c>
      <c r="H44" s="50">
        <f t="shared" ref="H44:S44" si="30">+H45+H46+H47+H48+H49+H50+H51+H52+H53+H54</f>
        <v>0</v>
      </c>
      <c r="I44" s="50">
        <f t="shared" si="30"/>
        <v>19041.05</v>
      </c>
      <c r="J44" s="50">
        <f t="shared" si="30"/>
        <v>13172</v>
      </c>
      <c r="K44" s="50">
        <f>+K45+K46+K47+K48+K49+K50+K51+K52+K53+K54</f>
        <v>4300</v>
      </c>
      <c r="L44" s="50">
        <f t="shared" si="30"/>
        <v>0</v>
      </c>
      <c r="M44" s="50">
        <f t="shared" si="30"/>
        <v>4300</v>
      </c>
      <c r="N44" s="50">
        <f t="shared" si="30"/>
        <v>4300</v>
      </c>
      <c r="O44" s="50">
        <f t="shared" si="30"/>
        <v>3950</v>
      </c>
      <c r="P44" s="50">
        <f t="shared" si="30"/>
        <v>350</v>
      </c>
      <c r="Q44" s="50">
        <f t="shared" si="30"/>
        <v>0</v>
      </c>
      <c r="R44" s="50">
        <f t="shared" si="30"/>
        <v>0</v>
      </c>
      <c r="S44" s="50">
        <f t="shared" si="30"/>
        <v>0</v>
      </c>
      <c r="T44" s="24"/>
      <c r="U44" s="16"/>
    </row>
    <row r="45" spans="1:21" s="25" customFormat="1" ht="51" x14ac:dyDescent="0.25">
      <c r="A45" s="16">
        <v>2</v>
      </c>
      <c r="B45" s="34" t="s">
        <v>118</v>
      </c>
      <c r="C45" s="30" t="s">
        <v>79</v>
      </c>
      <c r="D45" s="30" t="s">
        <v>119</v>
      </c>
      <c r="E45" s="30">
        <v>2022</v>
      </c>
      <c r="F45" s="30" t="s">
        <v>120</v>
      </c>
      <c r="G45" s="76">
        <v>700</v>
      </c>
      <c r="H45" s="50"/>
      <c r="I45" s="50">
        <v>689</v>
      </c>
      <c r="J45" s="50">
        <v>100</v>
      </c>
      <c r="K45" s="50">
        <f t="shared" ref="K45:K54" si="31">+L45+M45</f>
        <v>589</v>
      </c>
      <c r="L45" s="50"/>
      <c r="M45" s="50">
        <v>589</v>
      </c>
      <c r="N45" s="50">
        <f t="shared" ref="N45:N54" si="32">+O45+P45+Q45+R45+S45</f>
        <v>589</v>
      </c>
      <c r="O45" s="50">
        <f>+K45</f>
        <v>589</v>
      </c>
      <c r="P45" s="50"/>
      <c r="Q45" s="50"/>
      <c r="R45" s="50"/>
      <c r="S45" s="50"/>
      <c r="T45" s="1" t="s">
        <v>45</v>
      </c>
      <c r="U45" s="16" t="s">
        <v>233</v>
      </c>
    </row>
    <row r="46" spans="1:21" s="25" customFormat="1" ht="51" x14ac:dyDescent="0.25">
      <c r="A46" s="16">
        <v>3</v>
      </c>
      <c r="B46" s="34" t="s">
        <v>121</v>
      </c>
      <c r="C46" s="30" t="s">
        <v>79</v>
      </c>
      <c r="D46" s="30" t="s">
        <v>119</v>
      </c>
      <c r="E46" s="30">
        <v>2022</v>
      </c>
      <c r="F46" s="30">
        <v>0</v>
      </c>
      <c r="G46" s="76">
        <v>900</v>
      </c>
      <c r="H46" s="50"/>
      <c r="I46" s="50">
        <v>845</v>
      </c>
      <c r="J46" s="50">
        <v>100</v>
      </c>
      <c r="K46" s="50">
        <f t="shared" si="31"/>
        <v>745</v>
      </c>
      <c r="L46" s="50"/>
      <c r="M46" s="50">
        <v>745</v>
      </c>
      <c r="N46" s="50">
        <f t="shared" si="32"/>
        <v>745</v>
      </c>
      <c r="O46" s="50">
        <f t="shared" ref="O46:O52" si="33">+K46</f>
        <v>745</v>
      </c>
      <c r="P46" s="50"/>
      <c r="Q46" s="50"/>
      <c r="R46" s="50"/>
      <c r="S46" s="50"/>
      <c r="T46" s="1" t="s">
        <v>45</v>
      </c>
      <c r="U46" s="16" t="s">
        <v>233</v>
      </c>
    </row>
    <row r="47" spans="1:21" s="25" customFormat="1" ht="51" x14ac:dyDescent="0.25">
      <c r="A47" s="16">
        <v>4</v>
      </c>
      <c r="B47" s="34" t="s">
        <v>122</v>
      </c>
      <c r="C47" s="30" t="s">
        <v>79</v>
      </c>
      <c r="D47" s="30" t="s">
        <v>123</v>
      </c>
      <c r="E47" s="30">
        <v>2022</v>
      </c>
      <c r="F47" s="30" t="s">
        <v>124</v>
      </c>
      <c r="G47" s="76">
        <v>200</v>
      </c>
      <c r="H47" s="50"/>
      <c r="I47" s="50">
        <v>196</v>
      </c>
      <c r="J47" s="50">
        <v>100</v>
      </c>
      <c r="K47" s="50">
        <f t="shared" si="31"/>
        <v>96</v>
      </c>
      <c r="L47" s="50"/>
      <c r="M47" s="50">
        <v>96</v>
      </c>
      <c r="N47" s="50">
        <f t="shared" si="32"/>
        <v>96</v>
      </c>
      <c r="O47" s="50">
        <f t="shared" si="33"/>
        <v>96</v>
      </c>
      <c r="P47" s="50"/>
      <c r="Q47" s="50"/>
      <c r="R47" s="50"/>
      <c r="S47" s="50"/>
      <c r="T47" s="1" t="s">
        <v>45</v>
      </c>
      <c r="U47" s="16" t="s">
        <v>233</v>
      </c>
    </row>
    <row r="48" spans="1:21" s="25" customFormat="1" ht="51" x14ac:dyDescent="0.25">
      <c r="A48" s="16">
        <v>5</v>
      </c>
      <c r="B48" s="34" t="s">
        <v>125</v>
      </c>
      <c r="C48" s="30" t="s">
        <v>79</v>
      </c>
      <c r="D48" s="30" t="s">
        <v>126</v>
      </c>
      <c r="E48" s="30">
        <v>2021</v>
      </c>
      <c r="F48" s="30" t="s">
        <v>127</v>
      </c>
      <c r="G48" s="76">
        <v>864</v>
      </c>
      <c r="H48" s="50"/>
      <c r="I48" s="50">
        <v>864</v>
      </c>
      <c r="J48" s="50">
        <v>704</v>
      </c>
      <c r="K48" s="50">
        <f t="shared" si="31"/>
        <v>160</v>
      </c>
      <c r="L48" s="50"/>
      <c r="M48" s="50">
        <v>160</v>
      </c>
      <c r="N48" s="50">
        <f t="shared" si="32"/>
        <v>160</v>
      </c>
      <c r="O48" s="50">
        <f t="shared" si="33"/>
        <v>160</v>
      </c>
      <c r="P48" s="50"/>
      <c r="Q48" s="50"/>
      <c r="R48" s="50"/>
      <c r="S48" s="50"/>
      <c r="T48" s="64" t="s">
        <v>218</v>
      </c>
      <c r="U48" s="16" t="s">
        <v>233</v>
      </c>
    </row>
    <row r="49" spans="1:23" s="25" customFormat="1" ht="51" x14ac:dyDescent="0.25">
      <c r="A49" s="16">
        <v>6</v>
      </c>
      <c r="B49" s="34" t="s">
        <v>54</v>
      </c>
      <c r="C49" s="30" t="s">
        <v>128</v>
      </c>
      <c r="D49" s="30" t="s">
        <v>56</v>
      </c>
      <c r="E49" s="30" t="s">
        <v>57</v>
      </c>
      <c r="F49" s="30" t="s">
        <v>58</v>
      </c>
      <c r="G49" s="76">
        <v>3074</v>
      </c>
      <c r="H49" s="50"/>
      <c r="I49" s="50">
        <v>2956</v>
      </c>
      <c r="J49" s="50">
        <v>1500</v>
      </c>
      <c r="K49" s="50">
        <f t="shared" si="31"/>
        <v>1369</v>
      </c>
      <c r="L49" s="50"/>
      <c r="M49" s="50">
        <v>1369</v>
      </c>
      <c r="N49" s="50">
        <f t="shared" si="32"/>
        <v>1369</v>
      </c>
      <c r="O49" s="50">
        <f t="shared" si="33"/>
        <v>1369</v>
      </c>
      <c r="P49" s="50"/>
      <c r="Q49" s="50"/>
      <c r="R49" s="50"/>
      <c r="S49" s="50"/>
      <c r="T49" s="1" t="s">
        <v>45</v>
      </c>
      <c r="U49" s="16" t="s">
        <v>233</v>
      </c>
    </row>
    <row r="50" spans="1:23" s="25" customFormat="1" ht="51" x14ac:dyDescent="0.25">
      <c r="A50" s="16">
        <v>7</v>
      </c>
      <c r="B50" s="34" t="s">
        <v>129</v>
      </c>
      <c r="C50" s="30" t="s">
        <v>130</v>
      </c>
      <c r="D50" s="30" t="s">
        <v>48</v>
      </c>
      <c r="E50" s="30" t="s">
        <v>61</v>
      </c>
      <c r="F50" s="30" t="s">
        <v>131</v>
      </c>
      <c r="G50" s="76">
        <v>9993</v>
      </c>
      <c r="H50" s="50"/>
      <c r="I50" s="50">
        <v>9669</v>
      </c>
      <c r="J50" s="50">
        <v>9488</v>
      </c>
      <c r="K50" s="50">
        <f t="shared" si="31"/>
        <v>181</v>
      </c>
      <c r="L50" s="50"/>
      <c r="M50" s="50">
        <v>181</v>
      </c>
      <c r="N50" s="50">
        <f t="shared" si="32"/>
        <v>181</v>
      </c>
      <c r="O50" s="50">
        <f t="shared" si="33"/>
        <v>181</v>
      </c>
      <c r="P50" s="50"/>
      <c r="Q50" s="50"/>
      <c r="R50" s="50"/>
      <c r="S50" s="50"/>
      <c r="T50" s="1" t="s">
        <v>45</v>
      </c>
      <c r="U50" s="16" t="s">
        <v>233</v>
      </c>
    </row>
    <row r="51" spans="1:23" s="25" customFormat="1" ht="51" x14ac:dyDescent="0.25">
      <c r="A51" s="16">
        <v>8</v>
      </c>
      <c r="B51" s="34" t="s">
        <v>132</v>
      </c>
      <c r="C51" s="30" t="s">
        <v>130</v>
      </c>
      <c r="D51" s="30" t="s">
        <v>48</v>
      </c>
      <c r="E51" s="30" t="s">
        <v>61</v>
      </c>
      <c r="F51" s="30" t="s">
        <v>133</v>
      </c>
      <c r="G51" s="76">
        <v>1984</v>
      </c>
      <c r="H51" s="50"/>
      <c r="I51" s="50">
        <v>1845.8</v>
      </c>
      <c r="J51" s="50">
        <v>275</v>
      </c>
      <c r="K51" s="50">
        <f t="shared" si="31"/>
        <v>360</v>
      </c>
      <c r="L51" s="50"/>
      <c r="M51" s="50">
        <v>360</v>
      </c>
      <c r="N51" s="50">
        <f t="shared" si="32"/>
        <v>360</v>
      </c>
      <c r="O51" s="50">
        <f t="shared" si="33"/>
        <v>360</v>
      </c>
      <c r="P51" s="50"/>
      <c r="Q51" s="50"/>
      <c r="R51" s="50"/>
      <c r="S51" s="50"/>
      <c r="T51" s="1" t="s">
        <v>45</v>
      </c>
      <c r="U51" s="16" t="s">
        <v>233</v>
      </c>
    </row>
    <row r="52" spans="1:23" s="25" customFormat="1" ht="51" x14ac:dyDescent="0.25">
      <c r="A52" s="16">
        <v>9</v>
      </c>
      <c r="B52" s="34" t="s">
        <v>134</v>
      </c>
      <c r="C52" s="30" t="s">
        <v>98</v>
      </c>
      <c r="D52" s="30" t="s">
        <v>87</v>
      </c>
      <c r="E52" s="30" t="s">
        <v>61</v>
      </c>
      <c r="F52" s="30" t="s">
        <v>135</v>
      </c>
      <c r="G52" s="76">
        <v>2212</v>
      </c>
      <c r="H52" s="50"/>
      <c r="I52" s="50">
        <v>1976.25</v>
      </c>
      <c r="J52" s="50">
        <v>305</v>
      </c>
      <c r="K52" s="50">
        <f t="shared" si="31"/>
        <v>450</v>
      </c>
      <c r="L52" s="50"/>
      <c r="M52" s="50">
        <v>450</v>
      </c>
      <c r="N52" s="50">
        <f t="shared" si="32"/>
        <v>450</v>
      </c>
      <c r="O52" s="50">
        <f t="shared" si="33"/>
        <v>450</v>
      </c>
      <c r="P52" s="50"/>
      <c r="Q52" s="50"/>
      <c r="R52" s="50"/>
      <c r="S52" s="50"/>
      <c r="T52" s="1" t="s">
        <v>45</v>
      </c>
      <c r="U52" s="16" t="s">
        <v>233</v>
      </c>
    </row>
    <row r="53" spans="1:23" s="25" customFormat="1" ht="51" x14ac:dyDescent="0.25">
      <c r="A53" s="16">
        <v>10</v>
      </c>
      <c r="B53" s="34" t="s">
        <v>136</v>
      </c>
      <c r="C53" s="30" t="s">
        <v>137</v>
      </c>
      <c r="D53" s="30" t="s">
        <v>138</v>
      </c>
      <c r="E53" s="30" t="s">
        <v>139</v>
      </c>
      <c r="F53" s="30" t="s">
        <v>142</v>
      </c>
      <c r="G53" s="50">
        <v>5000</v>
      </c>
      <c r="H53" s="50"/>
      <c r="I53" s="50"/>
      <c r="J53" s="50">
        <v>400</v>
      </c>
      <c r="K53" s="50">
        <f t="shared" si="31"/>
        <v>100</v>
      </c>
      <c r="L53" s="50"/>
      <c r="M53" s="50">
        <v>100</v>
      </c>
      <c r="N53" s="50">
        <f t="shared" si="32"/>
        <v>100</v>
      </c>
      <c r="O53" s="50"/>
      <c r="P53" s="50">
        <f>+K53</f>
        <v>100</v>
      </c>
      <c r="Q53" s="50"/>
      <c r="R53" s="50"/>
      <c r="S53" s="50"/>
      <c r="T53" s="1" t="s">
        <v>45</v>
      </c>
      <c r="U53" s="16" t="s">
        <v>234</v>
      </c>
    </row>
    <row r="54" spans="1:23" s="25" customFormat="1" ht="51" x14ac:dyDescent="0.25">
      <c r="A54" s="16">
        <v>11</v>
      </c>
      <c r="B54" s="34" t="s">
        <v>140</v>
      </c>
      <c r="C54" s="30" t="s">
        <v>79</v>
      </c>
      <c r="D54" s="30" t="s">
        <v>141</v>
      </c>
      <c r="E54" s="30" t="s">
        <v>139</v>
      </c>
      <c r="F54" s="30" t="s">
        <v>143</v>
      </c>
      <c r="G54" s="50">
        <v>2500</v>
      </c>
      <c r="H54" s="50"/>
      <c r="I54" s="50"/>
      <c r="J54" s="50">
        <v>200</v>
      </c>
      <c r="K54" s="50">
        <f t="shared" si="31"/>
        <v>250</v>
      </c>
      <c r="L54" s="50"/>
      <c r="M54" s="50">
        <v>250</v>
      </c>
      <c r="N54" s="50">
        <f t="shared" si="32"/>
        <v>250</v>
      </c>
      <c r="O54" s="50"/>
      <c r="P54" s="50">
        <f>+K54</f>
        <v>250</v>
      </c>
      <c r="Q54" s="50"/>
      <c r="R54" s="50"/>
      <c r="S54" s="50"/>
      <c r="T54" s="1" t="s">
        <v>45</v>
      </c>
      <c r="U54" s="16" t="s">
        <v>234</v>
      </c>
    </row>
    <row r="55" spans="1:23" s="28" customFormat="1" ht="25.5" x14ac:dyDescent="0.25">
      <c r="A55" s="19" t="s">
        <v>144</v>
      </c>
      <c r="B55" s="23" t="s">
        <v>145</v>
      </c>
      <c r="C55" s="27"/>
      <c r="D55" s="27"/>
      <c r="E55" s="19"/>
      <c r="F55" s="27"/>
      <c r="G55" s="38">
        <f>+G56+G76</f>
        <v>167334.595</v>
      </c>
      <c r="H55" s="38">
        <f t="shared" ref="H55:S55" si="34">+H56+H76</f>
        <v>137</v>
      </c>
      <c r="I55" s="38">
        <f t="shared" si="34"/>
        <v>58050.095000000008</v>
      </c>
      <c r="J55" s="38">
        <f t="shared" si="34"/>
        <v>59423</v>
      </c>
      <c r="K55" s="38">
        <f t="shared" si="34"/>
        <v>61460.4</v>
      </c>
      <c r="L55" s="38">
        <f t="shared" si="34"/>
        <v>0</v>
      </c>
      <c r="M55" s="38">
        <f t="shared" si="34"/>
        <v>61460.4</v>
      </c>
      <c r="N55" s="38">
        <f t="shared" si="34"/>
        <v>61460.4</v>
      </c>
      <c r="O55" s="38">
        <f t="shared" si="34"/>
        <v>15616</v>
      </c>
      <c r="P55" s="38">
        <f t="shared" si="34"/>
        <v>10149.299999999999</v>
      </c>
      <c r="Q55" s="38">
        <f t="shared" si="34"/>
        <v>4349.7000000000007</v>
      </c>
      <c r="R55" s="38">
        <f t="shared" si="34"/>
        <v>13352.36</v>
      </c>
      <c r="S55" s="38">
        <f t="shared" si="34"/>
        <v>17993.039999999997</v>
      </c>
      <c r="T55" s="27"/>
      <c r="U55" s="19"/>
    </row>
    <row r="56" spans="1:23" s="28" customFormat="1" ht="38.25" x14ac:dyDescent="0.25">
      <c r="A56" s="19" t="s">
        <v>29</v>
      </c>
      <c r="B56" s="23" t="s">
        <v>226</v>
      </c>
      <c r="C56" s="27"/>
      <c r="D56" s="27"/>
      <c r="E56" s="19"/>
      <c r="F56" s="27"/>
      <c r="G56" s="38">
        <f>+G57+G66+G71</f>
        <v>81348.595000000001</v>
      </c>
      <c r="H56" s="38">
        <f t="shared" ref="H56:S56" si="35">+H57+H66+H71</f>
        <v>137</v>
      </c>
      <c r="I56" s="38">
        <f t="shared" si="35"/>
        <v>58050.095000000008</v>
      </c>
      <c r="J56" s="38">
        <f t="shared" si="35"/>
        <v>39107</v>
      </c>
      <c r="K56" s="38">
        <f t="shared" si="35"/>
        <v>16605</v>
      </c>
      <c r="L56" s="38">
        <f t="shared" si="35"/>
        <v>0</v>
      </c>
      <c r="M56" s="38">
        <f t="shared" si="35"/>
        <v>16605</v>
      </c>
      <c r="N56" s="38">
        <f t="shared" si="35"/>
        <v>16605</v>
      </c>
      <c r="O56" s="38">
        <f t="shared" si="35"/>
        <v>12671</v>
      </c>
      <c r="P56" s="38">
        <f t="shared" si="35"/>
        <v>1803.9</v>
      </c>
      <c r="Q56" s="38">
        <f t="shared" si="35"/>
        <v>773.1</v>
      </c>
      <c r="R56" s="38">
        <f t="shared" si="35"/>
        <v>1357</v>
      </c>
      <c r="S56" s="38">
        <f t="shared" si="35"/>
        <v>0</v>
      </c>
      <c r="T56" s="27"/>
      <c r="U56" s="19"/>
      <c r="W56" s="28" t="s">
        <v>237</v>
      </c>
    </row>
    <row r="57" spans="1:23" s="28" customFormat="1" ht="25.5" x14ac:dyDescent="0.25">
      <c r="A57" s="19" t="s">
        <v>146</v>
      </c>
      <c r="B57" s="23" t="s">
        <v>236</v>
      </c>
      <c r="C57" s="27"/>
      <c r="D57" s="27"/>
      <c r="E57" s="19"/>
      <c r="F57" s="27"/>
      <c r="G57" s="38">
        <f>+G58+G59+G60+G61+G62+G63+G64+G65</f>
        <v>43526.095000000008</v>
      </c>
      <c r="H57" s="38">
        <f t="shared" ref="H57:S57" si="36">+H58+H59+H60+H61+H62+H63+H64+H65</f>
        <v>137</v>
      </c>
      <c r="I57" s="38">
        <f t="shared" si="36"/>
        <v>43350.095000000008</v>
      </c>
      <c r="J57" s="38">
        <f t="shared" si="36"/>
        <v>29761</v>
      </c>
      <c r="K57" s="38">
        <f t="shared" si="36"/>
        <v>12671</v>
      </c>
      <c r="L57" s="38">
        <f t="shared" si="36"/>
        <v>0</v>
      </c>
      <c r="M57" s="38">
        <f t="shared" si="36"/>
        <v>12671</v>
      </c>
      <c r="N57" s="38">
        <f t="shared" si="36"/>
        <v>12671</v>
      </c>
      <c r="O57" s="38">
        <f t="shared" si="36"/>
        <v>12671</v>
      </c>
      <c r="P57" s="38">
        <f t="shared" si="36"/>
        <v>0</v>
      </c>
      <c r="Q57" s="38">
        <f t="shared" si="36"/>
        <v>0</v>
      </c>
      <c r="R57" s="38">
        <f t="shared" si="36"/>
        <v>0</v>
      </c>
      <c r="S57" s="38">
        <f t="shared" si="36"/>
        <v>0</v>
      </c>
      <c r="T57" s="27"/>
      <c r="U57" s="19"/>
    </row>
    <row r="58" spans="1:23" s="25" customFormat="1" ht="63.75" x14ac:dyDescent="0.25">
      <c r="A58" s="30">
        <v>1</v>
      </c>
      <c r="B58" s="34" t="s">
        <v>148</v>
      </c>
      <c r="C58" s="30" t="s">
        <v>52</v>
      </c>
      <c r="D58" s="30" t="s">
        <v>123</v>
      </c>
      <c r="E58" s="30" t="s">
        <v>61</v>
      </c>
      <c r="F58" s="30" t="s">
        <v>149</v>
      </c>
      <c r="G58" s="50">
        <v>5307.0659999999998</v>
      </c>
      <c r="H58" s="50">
        <v>137</v>
      </c>
      <c r="I58" s="50">
        <v>5307.0659999999998</v>
      </c>
      <c r="J58" s="50">
        <v>3520</v>
      </c>
      <c r="K58" s="50">
        <f>+L58+M58</f>
        <v>1650</v>
      </c>
      <c r="L58" s="50"/>
      <c r="M58" s="50">
        <v>1650</v>
      </c>
      <c r="N58" s="50">
        <f t="shared" ref="N58:N65" si="37">+O58+P58+Q58+R58+S58</f>
        <v>1650</v>
      </c>
      <c r="O58" s="50">
        <f>+K58</f>
        <v>1650</v>
      </c>
      <c r="P58" s="50"/>
      <c r="Q58" s="50"/>
      <c r="R58" s="50"/>
      <c r="S58" s="50"/>
      <c r="T58" s="1" t="s">
        <v>45</v>
      </c>
      <c r="U58" s="16" t="s">
        <v>233</v>
      </c>
    </row>
    <row r="59" spans="1:23" s="25" customFormat="1" ht="63.75" x14ac:dyDescent="0.25">
      <c r="A59" s="30">
        <v>2</v>
      </c>
      <c r="B59" s="34" t="s">
        <v>150</v>
      </c>
      <c r="C59" s="30" t="s">
        <v>52</v>
      </c>
      <c r="D59" s="30" t="s">
        <v>123</v>
      </c>
      <c r="E59" s="30" t="s">
        <v>61</v>
      </c>
      <c r="F59" s="30" t="s">
        <v>151</v>
      </c>
      <c r="G59" s="50">
        <v>7862.4930000000004</v>
      </c>
      <c r="H59" s="50"/>
      <c r="I59" s="50">
        <v>7862.4930000000004</v>
      </c>
      <c r="J59" s="50">
        <v>5120</v>
      </c>
      <c r="K59" s="50">
        <f t="shared" ref="K59:K75" si="38">+L59+M59</f>
        <v>2515</v>
      </c>
      <c r="L59" s="50"/>
      <c r="M59" s="50">
        <v>2515</v>
      </c>
      <c r="N59" s="50">
        <f t="shared" si="37"/>
        <v>2515</v>
      </c>
      <c r="O59" s="50">
        <f t="shared" ref="O59:O65" si="39">+K59</f>
        <v>2515</v>
      </c>
      <c r="P59" s="50"/>
      <c r="Q59" s="50"/>
      <c r="R59" s="50"/>
      <c r="S59" s="50"/>
      <c r="T59" s="1" t="s">
        <v>45</v>
      </c>
      <c r="U59" s="16" t="s">
        <v>233</v>
      </c>
    </row>
    <row r="60" spans="1:23" s="25" customFormat="1" ht="63.75" x14ac:dyDescent="0.25">
      <c r="A60" s="30">
        <v>3</v>
      </c>
      <c r="B60" s="34" t="s">
        <v>152</v>
      </c>
      <c r="C60" s="30" t="s">
        <v>52</v>
      </c>
      <c r="D60" s="30" t="s">
        <v>123</v>
      </c>
      <c r="E60" s="30" t="s">
        <v>61</v>
      </c>
      <c r="F60" s="30" t="s">
        <v>153</v>
      </c>
      <c r="G60" s="50">
        <v>7580</v>
      </c>
      <c r="H60" s="50"/>
      <c r="I60" s="50">
        <v>7580</v>
      </c>
      <c r="J60" s="50">
        <v>4750</v>
      </c>
      <c r="K60" s="50">
        <f t="shared" si="38"/>
        <v>2615</v>
      </c>
      <c r="L60" s="50"/>
      <c r="M60" s="50">
        <v>2615</v>
      </c>
      <c r="N60" s="50">
        <f t="shared" si="37"/>
        <v>2615</v>
      </c>
      <c r="O60" s="50">
        <f t="shared" si="39"/>
        <v>2615</v>
      </c>
      <c r="P60" s="50"/>
      <c r="Q60" s="50"/>
      <c r="R60" s="50"/>
      <c r="S60" s="50"/>
      <c r="T60" s="1" t="s">
        <v>45</v>
      </c>
      <c r="U60" s="16" t="s">
        <v>233</v>
      </c>
    </row>
    <row r="61" spans="1:23" s="25" customFormat="1" ht="63.75" x14ac:dyDescent="0.25">
      <c r="A61" s="30">
        <v>4</v>
      </c>
      <c r="B61" s="34" t="s">
        <v>154</v>
      </c>
      <c r="C61" s="30" t="s">
        <v>52</v>
      </c>
      <c r="D61" s="30" t="s">
        <v>123</v>
      </c>
      <c r="E61" s="30" t="s">
        <v>61</v>
      </c>
      <c r="F61" s="30" t="s">
        <v>155</v>
      </c>
      <c r="G61" s="50">
        <v>6624.9350000000004</v>
      </c>
      <c r="H61" s="50"/>
      <c r="I61" s="50">
        <v>6624.9350000000004</v>
      </c>
      <c r="J61" s="50">
        <v>4475</v>
      </c>
      <c r="K61" s="50">
        <f t="shared" si="38"/>
        <v>2007</v>
      </c>
      <c r="L61" s="50"/>
      <c r="M61" s="50">
        <v>2007</v>
      </c>
      <c r="N61" s="50">
        <f t="shared" si="37"/>
        <v>2007</v>
      </c>
      <c r="O61" s="50">
        <f t="shared" si="39"/>
        <v>2007</v>
      </c>
      <c r="P61" s="50"/>
      <c r="Q61" s="50"/>
      <c r="R61" s="50"/>
      <c r="S61" s="50"/>
      <c r="T61" s="1" t="s">
        <v>45</v>
      </c>
      <c r="U61" s="16" t="s">
        <v>233</v>
      </c>
    </row>
    <row r="62" spans="1:23" s="25" customFormat="1" ht="63.75" x14ac:dyDescent="0.25">
      <c r="A62" s="30">
        <v>5</v>
      </c>
      <c r="B62" s="34" t="s">
        <v>156</v>
      </c>
      <c r="C62" s="30" t="s">
        <v>52</v>
      </c>
      <c r="D62" s="30" t="s">
        <v>123</v>
      </c>
      <c r="E62" s="30" t="s">
        <v>61</v>
      </c>
      <c r="F62" s="30" t="s">
        <v>157</v>
      </c>
      <c r="G62" s="50">
        <v>4000</v>
      </c>
      <c r="H62" s="50"/>
      <c r="I62" s="50">
        <v>4000</v>
      </c>
      <c r="J62" s="50">
        <v>2620</v>
      </c>
      <c r="K62" s="50">
        <f t="shared" si="38"/>
        <v>1258</v>
      </c>
      <c r="L62" s="50"/>
      <c r="M62" s="50">
        <v>1258</v>
      </c>
      <c r="N62" s="50">
        <f t="shared" si="37"/>
        <v>1258</v>
      </c>
      <c r="O62" s="50">
        <f t="shared" si="39"/>
        <v>1258</v>
      </c>
      <c r="P62" s="50"/>
      <c r="Q62" s="50"/>
      <c r="R62" s="50"/>
      <c r="S62" s="50"/>
      <c r="T62" s="1" t="s">
        <v>45</v>
      </c>
      <c r="U62" s="16" t="s">
        <v>233</v>
      </c>
    </row>
    <row r="63" spans="1:23" s="25" customFormat="1" ht="63.75" x14ac:dyDescent="0.25">
      <c r="A63" s="30">
        <v>6</v>
      </c>
      <c r="B63" s="34" t="s">
        <v>158</v>
      </c>
      <c r="C63" s="30" t="s">
        <v>52</v>
      </c>
      <c r="D63" s="30" t="s">
        <v>214</v>
      </c>
      <c r="E63" s="30" t="s">
        <v>61</v>
      </c>
      <c r="F63" s="30" t="s">
        <v>159</v>
      </c>
      <c r="G63" s="50">
        <v>2700</v>
      </c>
      <c r="H63" s="50"/>
      <c r="I63" s="50">
        <v>2700</v>
      </c>
      <c r="J63" s="50">
        <v>1770</v>
      </c>
      <c r="K63" s="50">
        <f t="shared" si="38"/>
        <v>850</v>
      </c>
      <c r="L63" s="50"/>
      <c r="M63" s="50">
        <v>850</v>
      </c>
      <c r="N63" s="50">
        <f t="shared" si="37"/>
        <v>850</v>
      </c>
      <c r="O63" s="50">
        <f t="shared" si="39"/>
        <v>850</v>
      </c>
      <c r="P63" s="50"/>
      <c r="Q63" s="50"/>
      <c r="R63" s="50"/>
      <c r="S63" s="50"/>
      <c r="T63" s="1" t="s">
        <v>45</v>
      </c>
      <c r="U63" s="16" t="s">
        <v>233</v>
      </c>
    </row>
    <row r="64" spans="1:23" s="25" customFormat="1" ht="51" x14ac:dyDescent="0.25">
      <c r="A64" s="30">
        <v>7</v>
      </c>
      <c r="B64" s="34" t="s">
        <v>160</v>
      </c>
      <c r="C64" s="30" t="s">
        <v>52</v>
      </c>
      <c r="D64" s="30" t="s">
        <v>214</v>
      </c>
      <c r="E64" s="30" t="s">
        <v>61</v>
      </c>
      <c r="F64" s="30" t="s">
        <v>161</v>
      </c>
      <c r="G64" s="50">
        <v>4173.6009999999997</v>
      </c>
      <c r="H64" s="50"/>
      <c r="I64" s="50">
        <v>4173.6009999999997</v>
      </c>
      <c r="J64" s="50">
        <v>2640</v>
      </c>
      <c r="K64" s="50">
        <f t="shared" si="38"/>
        <v>1414</v>
      </c>
      <c r="L64" s="50"/>
      <c r="M64" s="50">
        <v>1414</v>
      </c>
      <c r="N64" s="50">
        <f t="shared" si="37"/>
        <v>1414</v>
      </c>
      <c r="O64" s="50">
        <f t="shared" si="39"/>
        <v>1414</v>
      </c>
      <c r="P64" s="50"/>
      <c r="Q64" s="50"/>
      <c r="R64" s="50"/>
      <c r="S64" s="50"/>
      <c r="T64" s="1" t="s">
        <v>45</v>
      </c>
      <c r="U64" s="16" t="s">
        <v>233</v>
      </c>
    </row>
    <row r="65" spans="1:21" s="25" customFormat="1" ht="63.75" x14ac:dyDescent="0.25">
      <c r="A65" s="30">
        <v>8</v>
      </c>
      <c r="B65" s="34" t="s">
        <v>162</v>
      </c>
      <c r="C65" s="30" t="s">
        <v>163</v>
      </c>
      <c r="D65" s="30" t="s">
        <v>123</v>
      </c>
      <c r="E65" s="30" t="s">
        <v>61</v>
      </c>
      <c r="F65" s="30" t="s">
        <v>164</v>
      </c>
      <c r="G65" s="76">
        <v>5278</v>
      </c>
      <c r="H65" s="50"/>
      <c r="I65" s="50">
        <v>5102</v>
      </c>
      <c r="J65" s="50">
        <v>4866</v>
      </c>
      <c r="K65" s="50">
        <f t="shared" si="38"/>
        <v>362</v>
      </c>
      <c r="L65" s="50"/>
      <c r="M65" s="50">
        <v>362</v>
      </c>
      <c r="N65" s="50">
        <f t="shared" si="37"/>
        <v>362</v>
      </c>
      <c r="O65" s="50">
        <f t="shared" si="39"/>
        <v>362</v>
      </c>
      <c r="P65" s="50"/>
      <c r="Q65" s="50"/>
      <c r="R65" s="50"/>
      <c r="S65" s="50"/>
      <c r="T65" s="1" t="s">
        <v>45</v>
      </c>
      <c r="U65" s="16" t="s">
        <v>233</v>
      </c>
    </row>
    <row r="66" spans="1:21" s="25" customFormat="1" ht="12.75" x14ac:dyDescent="0.25">
      <c r="A66" s="30" t="s">
        <v>146</v>
      </c>
      <c r="B66" s="34" t="s">
        <v>24</v>
      </c>
      <c r="C66" s="30"/>
      <c r="D66" s="30"/>
      <c r="E66" s="30"/>
      <c r="F66" s="30"/>
      <c r="G66" s="76">
        <f>+G67+G68+G69+G70</f>
        <v>14700</v>
      </c>
      <c r="H66" s="76">
        <f t="shared" ref="H66:R66" si="40">+H67+H68+H69+H70</f>
        <v>0</v>
      </c>
      <c r="I66" s="76">
        <f t="shared" si="40"/>
        <v>14700</v>
      </c>
      <c r="J66" s="76">
        <f t="shared" si="40"/>
        <v>9346</v>
      </c>
      <c r="K66" s="76">
        <f t="shared" si="40"/>
        <v>2577</v>
      </c>
      <c r="L66" s="76">
        <f t="shared" si="40"/>
        <v>0</v>
      </c>
      <c r="M66" s="76">
        <f t="shared" si="40"/>
        <v>2577</v>
      </c>
      <c r="N66" s="76">
        <f t="shared" si="40"/>
        <v>2577</v>
      </c>
      <c r="O66" s="76">
        <f t="shared" si="40"/>
        <v>0</v>
      </c>
      <c r="P66" s="76">
        <f t="shared" si="40"/>
        <v>1803.9</v>
      </c>
      <c r="Q66" s="76">
        <f t="shared" si="40"/>
        <v>773.1</v>
      </c>
      <c r="R66" s="76">
        <f t="shared" si="40"/>
        <v>0</v>
      </c>
      <c r="S66" s="76">
        <f>+S67+S68+S69+S70</f>
        <v>0</v>
      </c>
      <c r="T66" s="1"/>
      <c r="U66" s="16"/>
    </row>
    <row r="67" spans="1:21" s="25" customFormat="1" ht="63.75" x14ac:dyDescent="0.25">
      <c r="A67" s="30">
        <v>9</v>
      </c>
      <c r="B67" s="34" t="s">
        <v>165</v>
      </c>
      <c r="C67" s="30" t="s">
        <v>166</v>
      </c>
      <c r="D67" s="30" t="s">
        <v>123</v>
      </c>
      <c r="E67" s="30">
        <v>2023</v>
      </c>
      <c r="F67" s="30" t="s">
        <v>167</v>
      </c>
      <c r="G67" s="76">
        <v>5396</v>
      </c>
      <c r="H67" s="50"/>
      <c r="I67" s="50">
        <f>+G67</f>
        <v>5396</v>
      </c>
      <c r="J67" s="50">
        <v>3146</v>
      </c>
      <c r="K67" s="50">
        <f t="shared" si="38"/>
        <v>1125</v>
      </c>
      <c r="L67" s="50"/>
      <c r="M67" s="50">
        <v>1125</v>
      </c>
      <c r="N67" s="50">
        <f t="shared" ref="N67:N70" si="41">+O67+P67+Q67+R67+S67</f>
        <v>1125</v>
      </c>
      <c r="O67" s="50"/>
      <c r="P67" s="50">
        <f>+K67*70%</f>
        <v>787.5</v>
      </c>
      <c r="Q67" s="50">
        <f>+K67-P67</f>
        <v>337.5</v>
      </c>
      <c r="R67" s="50"/>
      <c r="S67" s="50"/>
      <c r="T67" s="1" t="s">
        <v>45</v>
      </c>
      <c r="U67" s="16" t="s">
        <v>234</v>
      </c>
    </row>
    <row r="68" spans="1:21" s="25" customFormat="1" ht="51" x14ac:dyDescent="0.25">
      <c r="A68" s="30">
        <v>10</v>
      </c>
      <c r="B68" s="34" t="s">
        <v>168</v>
      </c>
      <c r="C68" s="30" t="s">
        <v>166</v>
      </c>
      <c r="D68" s="30" t="s">
        <v>123</v>
      </c>
      <c r="E68" s="30">
        <v>2023</v>
      </c>
      <c r="F68" s="30" t="s">
        <v>169</v>
      </c>
      <c r="G68" s="76">
        <v>4304</v>
      </c>
      <c r="H68" s="50"/>
      <c r="I68" s="50">
        <f>+G68</f>
        <v>4304</v>
      </c>
      <c r="J68" s="50">
        <v>2800</v>
      </c>
      <c r="K68" s="50">
        <f t="shared" si="38"/>
        <v>652</v>
      </c>
      <c r="L68" s="50"/>
      <c r="M68" s="50">
        <v>652</v>
      </c>
      <c r="N68" s="50">
        <f t="shared" si="41"/>
        <v>652</v>
      </c>
      <c r="O68" s="50"/>
      <c r="P68" s="50">
        <f t="shared" ref="P68:P70" si="42">+K68*70%</f>
        <v>456.4</v>
      </c>
      <c r="Q68" s="50">
        <f t="shared" ref="Q68:Q70" si="43">+K68-P68</f>
        <v>195.60000000000002</v>
      </c>
      <c r="R68" s="50"/>
      <c r="S68" s="50"/>
      <c r="T68" s="1" t="s">
        <v>45</v>
      </c>
      <c r="U68" s="16" t="s">
        <v>234</v>
      </c>
    </row>
    <row r="69" spans="1:21" s="25" customFormat="1" ht="51" x14ac:dyDescent="0.25">
      <c r="A69" s="30">
        <v>11</v>
      </c>
      <c r="B69" s="34" t="s">
        <v>170</v>
      </c>
      <c r="C69" s="30" t="s">
        <v>166</v>
      </c>
      <c r="D69" s="30" t="s">
        <v>123</v>
      </c>
      <c r="E69" s="30">
        <v>2023</v>
      </c>
      <c r="F69" s="30" t="s">
        <v>171</v>
      </c>
      <c r="G69" s="76">
        <v>2500</v>
      </c>
      <c r="H69" s="50"/>
      <c r="I69" s="50">
        <f>+G69</f>
        <v>2500</v>
      </c>
      <c r="J69" s="50">
        <v>1700</v>
      </c>
      <c r="K69" s="50">
        <f t="shared" si="38"/>
        <v>400</v>
      </c>
      <c r="L69" s="50"/>
      <c r="M69" s="50">
        <v>400</v>
      </c>
      <c r="N69" s="50">
        <f t="shared" si="41"/>
        <v>400</v>
      </c>
      <c r="O69" s="50"/>
      <c r="P69" s="50">
        <f t="shared" si="42"/>
        <v>280</v>
      </c>
      <c r="Q69" s="50">
        <f t="shared" si="43"/>
        <v>120</v>
      </c>
      <c r="R69" s="50"/>
      <c r="S69" s="50"/>
      <c r="T69" s="1" t="s">
        <v>45</v>
      </c>
      <c r="U69" s="16" t="s">
        <v>234</v>
      </c>
    </row>
    <row r="70" spans="1:21" s="25" customFormat="1" ht="51" x14ac:dyDescent="0.25">
      <c r="A70" s="30">
        <v>12</v>
      </c>
      <c r="B70" s="34" t="s">
        <v>172</v>
      </c>
      <c r="C70" s="30" t="s">
        <v>166</v>
      </c>
      <c r="D70" s="30" t="s">
        <v>123</v>
      </c>
      <c r="E70" s="30">
        <v>2023</v>
      </c>
      <c r="F70" s="30" t="s">
        <v>173</v>
      </c>
      <c r="G70" s="76">
        <v>2500</v>
      </c>
      <c r="H70" s="50"/>
      <c r="I70" s="50">
        <f>+G70</f>
        <v>2500</v>
      </c>
      <c r="J70" s="50">
        <v>1700</v>
      </c>
      <c r="K70" s="50">
        <f t="shared" si="38"/>
        <v>400</v>
      </c>
      <c r="L70" s="50"/>
      <c r="M70" s="50">
        <v>400</v>
      </c>
      <c r="N70" s="50">
        <f t="shared" si="41"/>
        <v>400</v>
      </c>
      <c r="O70" s="50"/>
      <c r="P70" s="50">
        <f t="shared" si="42"/>
        <v>280</v>
      </c>
      <c r="Q70" s="50">
        <f t="shared" si="43"/>
        <v>120</v>
      </c>
      <c r="R70" s="50"/>
      <c r="S70" s="50"/>
      <c r="T70" s="1" t="s">
        <v>45</v>
      </c>
      <c r="U70" s="16" t="s">
        <v>234</v>
      </c>
    </row>
    <row r="71" spans="1:21" s="25" customFormat="1" ht="12.75" x14ac:dyDescent="0.25">
      <c r="A71" s="30" t="s">
        <v>146</v>
      </c>
      <c r="B71" s="34" t="s">
        <v>27</v>
      </c>
      <c r="C71" s="30"/>
      <c r="D71" s="30"/>
      <c r="E71" s="30"/>
      <c r="F71" s="30"/>
      <c r="G71" s="76">
        <f>+G72+G73+G74+G75</f>
        <v>23122.5</v>
      </c>
      <c r="H71" s="76">
        <f t="shared" ref="H71:S71" si="44">+H72+H73+H74+H75</f>
        <v>0</v>
      </c>
      <c r="I71" s="76">
        <f t="shared" si="44"/>
        <v>0</v>
      </c>
      <c r="J71" s="76">
        <f t="shared" si="44"/>
        <v>0</v>
      </c>
      <c r="K71" s="76">
        <f t="shared" si="44"/>
        <v>1357</v>
      </c>
      <c r="L71" s="76">
        <f t="shared" si="44"/>
        <v>0</v>
      </c>
      <c r="M71" s="76">
        <f t="shared" si="44"/>
        <v>1357</v>
      </c>
      <c r="N71" s="76">
        <f t="shared" si="44"/>
        <v>1357</v>
      </c>
      <c r="O71" s="76">
        <f t="shared" si="44"/>
        <v>0</v>
      </c>
      <c r="P71" s="76">
        <f t="shared" si="44"/>
        <v>0</v>
      </c>
      <c r="Q71" s="76">
        <f t="shared" si="44"/>
        <v>0</v>
      </c>
      <c r="R71" s="76">
        <f t="shared" si="44"/>
        <v>1357</v>
      </c>
      <c r="S71" s="76">
        <f t="shared" si="44"/>
        <v>0</v>
      </c>
      <c r="T71" s="1"/>
      <c r="U71" s="16"/>
    </row>
    <row r="72" spans="1:21" s="25" customFormat="1" ht="51" x14ac:dyDescent="0.25">
      <c r="A72" s="30">
        <v>13</v>
      </c>
      <c r="B72" s="34" t="s">
        <v>174</v>
      </c>
      <c r="C72" s="30" t="s">
        <v>108</v>
      </c>
      <c r="D72" s="30" t="s">
        <v>123</v>
      </c>
      <c r="E72" s="30" t="s">
        <v>139</v>
      </c>
      <c r="F72" s="24"/>
      <c r="G72" s="50">
        <v>4550</v>
      </c>
      <c r="H72" s="50"/>
      <c r="I72" s="50"/>
      <c r="J72" s="50"/>
      <c r="K72" s="50">
        <f t="shared" si="38"/>
        <v>307</v>
      </c>
      <c r="L72" s="50"/>
      <c r="M72" s="50">
        <v>307</v>
      </c>
      <c r="N72" s="50">
        <f t="shared" ref="N72:N75" si="45">+O72+P72+Q72+R72+S72</f>
        <v>307</v>
      </c>
      <c r="O72" s="50"/>
      <c r="P72" s="50"/>
      <c r="Q72" s="50"/>
      <c r="R72" s="50">
        <f>+K72</f>
        <v>307</v>
      </c>
      <c r="S72" s="50"/>
      <c r="T72" s="1" t="s">
        <v>45</v>
      </c>
      <c r="U72" s="16" t="s">
        <v>235</v>
      </c>
    </row>
    <row r="73" spans="1:21" s="25" customFormat="1" ht="51" x14ac:dyDescent="0.25">
      <c r="A73" s="30">
        <v>14</v>
      </c>
      <c r="B73" s="34" t="s">
        <v>175</v>
      </c>
      <c r="C73" s="30" t="s">
        <v>176</v>
      </c>
      <c r="D73" s="30" t="s">
        <v>123</v>
      </c>
      <c r="E73" s="30" t="s">
        <v>139</v>
      </c>
      <c r="F73" s="24"/>
      <c r="G73" s="50">
        <v>5950</v>
      </c>
      <c r="H73" s="50"/>
      <c r="I73" s="50"/>
      <c r="J73" s="50"/>
      <c r="K73" s="50">
        <f t="shared" si="38"/>
        <v>350</v>
      </c>
      <c r="L73" s="50"/>
      <c r="M73" s="50">
        <v>350</v>
      </c>
      <c r="N73" s="50">
        <f t="shared" si="45"/>
        <v>350</v>
      </c>
      <c r="O73" s="50"/>
      <c r="P73" s="50"/>
      <c r="Q73" s="50"/>
      <c r="R73" s="50">
        <f t="shared" ref="R73:R75" si="46">+K73</f>
        <v>350</v>
      </c>
      <c r="S73" s="50"/>
      <c r="T73" s="1" t="s">
        <v>45</v>
      </c>
      <c r="U73" s="16" t="s">
        <v>235</v>
      </c>
    </row>
    <row r="74" spans="1:21" s="25" customFormat="1" ht="51" x14ac:dyDescent="0.25">
      <c r="A74" s="30">
        <v>15</v>
      </c>
      <c r="B74" s="34" t="s">
        <v>177</v>
      </c>
      <c r="C74" s="30" t="s">
        <v>176</v>
      </c>
      <c r="D74" s="30" t="s">
        <v>123</v>
      </c>
      <c r="E74" s="30" t="s">
        <v>139</v>
      </c>
      <c r="F74" s="24"/>
      <c r="G74" s="50">
        <v>6352.5000000000009</v>
      </c>
      <c r="H74" s="50"/>
      <c r="I74" s="50"/>
      <c r="J74" s="50"/>
      <c r="K74" s="50">
        <f t="shared" si="38"/>
        <v>350</v>
      </c>
      <c r="L74" s="50"/>
      <c r="M74" s="50">
        <v>350</v>
      </c>
      <c r="N74" s="50">
        <f t="shared" si="45"/>
        <v>350</v>
      </c>
      <c r="O74" s="50"/>
      <c r="P74" s="50"/>
      <c r="Q74" s="50"/>
      <c r="R74" s="50">
        <f t="shared" si="46"/>
        <v>350</v>
      </c>
      <c r="S74" s="50"/>
      <c r="T74" s="1" t="s">
        <v>45</v>
      </c>
      <c r="U74" s="16" t="s">
        <v>235</v>
      </c>
    </row>
    <row r="75" spans="1:21" s="25" customFormat="1" ht="51" x14ac:dyDescent="0.25">
      <c r="A75" s="30">
        <v>16</v>
      </c>
      <c r="B75" s="34" t="s">
        <v>178</v>
      </c>
      <c r="C75" s="30" t="s">
        <v>176</v>
      </c>
      <c r="D75" s="30" t="s">
        <v>123</v>
      </c>
      <c r="E75" s="30" t="s">
        <v>139</v>
      </c>
      <c r="F75" s="24"/>
      <c r="G75" s="50">
        <v>6270</v>
      </c>
      <c r="H75" s="50"/>
      <c r="I75" s="50"/>
      <c r="J75" s="50"/>
      <c r="K75" s="50">
        <f t="shared" si="38"/>
        <v>350</v>
      </c>
      <c r="L75" s="50"/>
      <c r="M75" s="50">
        <v>350</v>
      </c>
      <c r="N75" s="50">
        <f t="shared" si="45"/>
        <v>350</v>
      </c>
      <c r="O75" s="50"/>
      <c r="P75" s="50"/>
      <c r="Q75" s="50"/>
      <c r="R75" s="50">
        <f t="shared" si="46"/>
        <v>350</v>
      </c>
      <c r="S75" s="50"/>
      <c r="T75" s="1" t="s">
        <v>45</v>
      </c>
      <c r="U75" s="16" t="s">
        <v>235</v>
      </c>
    </row>
    <row r="76" spans="1:21" s="28" customFormat="1" ht="38.25" x14ac:dyDescent="0.25">
      <c r="A76" s="19" t="s">
        <v>29</v>
      </c>
      <c r="B76" s="23" t="s">
        <v>227</v>
      </c>
      <c r="C76" s="27"/>
      <c r="D76" s="27"/>
      <c r="E76" s="19"/>
      <c r="F76" s="27"/>
      <c r="G76" s="38">
        <f>+G77+G80+G102+G105</f>
        <v>85986</v>
      </c>
      <c r="H76" s="38">
        <f t="shared" ref="H76:S76" si="47">+H77+H80+H102+H105</f>
        <v>0</v>
      </c>
      <c r="I76" s="38">
        <f t="shared" si="47"/>
        <v>0</v>
      </c>
      <c r="J76" s="38">
        <f t="shared" si="47"/>
        <v>20316</v>
      </c>
      <c r="K76" s="38">
        <f t="shared" si="47"/>
        <v>44855.4</v>
      </c>
      <c r="L76" s="38">
        <f t="shared" si="47"/>
        <v>0</v>
      </c>
      <c r="M76" s="38">
        <f t="shared" si="47"/>
        <v>44855.4</v>
      </c>
      <c r="N76" s="38">
        <f t="shared" si="47"/>
        <v>44855.4</v>
      </c>
      <c r="O76" s="38">
        <f t="shared" si="47"/>
        <v>2945</v>
      </c>
      <c r="P76" s="38">
        <f t="shared" si="47"/>
        <v>8345.4</v>
      </c>
      <c r="Q76" s="38">
        <f t="shared" si="47"/>
        <v>3576.6000000000008</v>
      </c>
      <c r="R76" s="38">
        <f t="shared" si="47"/>
        <v>11995.36</v>
      </c>
      <c r="S76" s="38">
        <f t="shared" si="47"/>
        <v>17993.039999999997</v>
      </c>
      <c r="T76" s="27"/>
      <c r="U76" s="19"/>
    </row>
    <row r="77" spans="1:21" s="28" customFormat="1" ht="25.5" x14ac:dyDescent="0.25">
      <c r="A77" s="19" t="s">
        <v>146</v>
      </c>
      <c r="B77" s="23" t="s">
        <v>179</v>
      </c>
      <c r="C77" s="27"/>
      <c r="D77" s="27"/>
      <c r="E77" s="19"/>
      <c r="F77" s="27"/>
      <c r="G77" s="38">
        <f>+G78+G79</f>
        <v>1204</v>
      </c>
      <c r="H77" s="38">
        <f t="shared" ref="H77:S77" si="48">+H78+H79</f>
        <v>0</v>
      </c>
      <c r="I77" s="38">
        <f t="shared" si="48"/>
        <v>0</v>
      </c>
      <c r="J77" s="38">
        <f t="shared" si="48"/>
        <v>0</v>
      </c>
      <c r="K77" s="38">
        <f t="shared" si="48"/>
        <v>1204</v>
      </c>
      <c r="L77" s="38">
        <f t="shared" si="48"/>
        <v>0</v>
      </c>
      <c r="M77" s="38">
        <f t="shared" si="48"/>
        <v>1204</v>
      </c>
      <c r="N77" s="38">
        <f t="shared" si="48"/>
        <v>1204</v>
      </c>
      <c r="O77" s="38">
        <f t="shared" si="48"/>
        <v>0</v>
      </c>
      <c r="P77" s="38">
        <f t="shared" si="48"/>
        <v>0</v>
      </c>
      <c r="Q77" s="38">
        <f t="shared" si="48"/>
        <v>0</v>
      </c>
      <c r="R77" s="38">
        <f t="shared" si="48"/>
        <v>481.6</v>
      </c>
      <c r="S77" s="38">
        <f t="shared" si="48"/>
        <v>722.4</v>
      </c>
      <c r="T77" s="27"/>
      <c r="U77" s="19"/>
    </row>
    <row r="78" spans="1:21" s="25" customFormat="1" ht="38.25" x14ac:dyDescent="0.25">
      <c r="A78" s="16">
        <v>1</v>
      </c>
      <c r="B78" s="34" t="s">
        <v>180</v>
      </c>
      <c r="C78" s="30" t="s">
        <v>181</v>
      </c>
      <c r="D78" s="30" t="s">
        <v>215</v>
      </c>
      <c r="E78" s="30">
        <v>2024</v>
      </c>
      <c r="F78" s="24"/>
      <c r="G78" s="50">
        <v>602</v>
      </c>
      <c r="H78" s="50"/>
      <c r="I78" s="50"/>
      <c r="J78" s="50"/>
      <c r="K78" s="50">
        <f>+L78+M78</f>
        <v>602</v>
      </c>
      <c r="L78" s="50"/>
      <c r="M78" s="50">
        <v>602</v>
      </c>
      <c r="N78" s="50">
        <f t="shared" ref="N78:N79" si="49">+O78+P78+Q78+R78+S78</f>
        <v>602</v>
      </c>
      <c r="O78" s="50"/>
      <c r="P78" s="50"/>
      <c r="Q78" s="50"/>
      <c r="R78" s="50">
        <f>+K78*40%</f>
        <v>240.8</v>
      </c>
      <c r="S78" s="50">
        <f>+K78-R78</f>
        <v>361.2</v>
      </c>
      <c r="T78" s="30" t="s">
        <v>219</v>
      </c>
      <c r="U78" s="16" t="s">
        <v>235</v>
      </c>
    </row>
    <row r="79" spans="1:21" s="25" customFormat="1" ht="38.25" x14ac:dyDescent="0.25">
      <c r="A79" s="16">
        <v>2</v>
      </c>
      <c r="B79" s="34" t="s">
        <v>182</v>
      </c>
      <c r="C79" s="30" t="s">
        <v>163</v>
      </c>
      <c r="D79" s="30" t="s">
        <v>215</v>
      </c>
      <c r="E79" s="30">
        <v>2024</v>
      </c>
      <c r="F79" s="24"/>
      <c r="G79" s="50">
        <v>602</v>
      </c>
      <c r="H79" s="50"/>
      <c r="I79" s="50"/>
      <c r="J79" s="50"/>
      <c r="K79" s="50">
        <f>+L79+M79</f>
        <v>602</v>
      </c>
      <c r="L79" s="50"/>
      <c r="M79" s="50">
        <v>602</v>
      </c>
      <c r="N79" s="50">
        <f t="shared" si="49"/>
        <v>602</v>
      </c>
      <c r="O79" s="50"/>
      <c r="P79" s="50"/>
      <c r="Q79" s="50"/>
      <c r="R79" s="50">
        <f>+K79*40%</f>
        <v>240.8</v>
      </c>
      <c r="S79" s="50">
        <f>+K79-R79</f>
        <v>361.2</v>
      </c>
      <c r="T79" s="30" t="s">
        <v>220</v>
      </c>
      <c r="U79" s="16" t="s">
        <v>235</v>
      </c>
    </row>
    <row r="80" spans="1:21" s="28" customFormat="1" ht="63.75" x14ac:dyDescent="0.25">
      <c r="A80" s="19" t="s">
        <v>146</v>
      </c>
      <c r="B80" s="23" t="s">
        <v>183</v>
      </c>
      <c r="C80" s="27"/>
      <c r="D80" s="27"/>
      <c r="E80" s="14"/>
      <c r="F80" s="27"/>
      <c r="G80" s="38">
        <f>+G81+G94</f>
        <v>66609</v>
      </c>
      <c r="H80" s="38">
        <f t="shared" ref="H80:S80" si="50">+H81+H94</f>
        <v>0</v>
      </c>
      <c r="I80" s="38">
        <f t="shared" si="50"/>
        <v>0</v>
      </c>
      <c r="J80" s="38">
        <f t="shared" si="50"/>
        <v>14334</v>
      </c>
      <c r="K80" s="38">
        <f t="shared" si="50"/>
        <v>36004.400000000001</v>
      </c>
      <c r="L80" s="38">
        <f t="shared" si="50"/>
        <v>0</v>
      </c>
      <c r="M80" s="38">
        <f t="shared" si="50"/>
        <v>36004.400000000001</v>
      </c>
      <c r="N80" s="38">
        <f t="shared" si="50"/>
        <v>36004.400000000001</v>
      </c>
      <c r="O80" s="38">
        <f t="shared" si="50"/>
        <v>927</v>
      </c>
      <c r="P80" s="38">
        <f t="shared" si="50"/>
        <v>8345.4</v>
      </c>
      <c r="Q80" s="38">
        <f t="shared" si="50"/>
        <v>3576.6000000000008</v>
      </c>
      <c r="R80" s="38">
        <f t="shared" si="50"/>
        <v>9262.16</v>
      </c>
      <c r="S80" s="38">
        <f t="shared" si="50"/>
        <v>13893.24</v>
      </c>
      <c r="T80" s="27"/>
      <c r="U80" s="19"/>
    </row>
    <row r="81" spans="1:21" s="25" customFormat="1" ht="12.75" x14ac:dyDescent="0.25">
      <c r="A81" s="16" t="s">
        <v>147</v>
      </c>
      <c r="B81" s="17" t="s">
        <v>184</v>
      </c>
      <c r="C81" s="24"/>
      <c r="D81" s="24"/>
      <c r="E81" s="30"/>
      <c r="F81" s="24"/>
      <c r="G81" s="50">
        <f>+G82+G83+G84+G85+G86+G87+G88+G89+G90+G91+G92+G93</f>
        <v>55995</v>
      </c>
      <c r="H81" s="50">
        <f t="shared" ref="H81:S81" si="51">+H82+H83+H84+H85+H86+H87+H88+H89+H90+H91+H92+H93</f>
        <v>0</v>
      </c>
      <c r="I81" s="50">
        <f t="shared" si="51"/>
        <v>0</v>
      </c>
      <c r="J81" s="50">
        <f t="shared" si="51"/>
        <v>12278</v>
      </c>
      <c r="K81" s="50">
        <f t="shared" si="51"/>
        <v>29092.400000000001</v>
      </c>
      <c r="L81" s="50">
        <f t="shared" si="51"/>
        <v>0</v>
      </c>
      <c r="M81" s="50">
        <f t="shared" si="51"/>
        <v>29092.400000000001</v>
      </c>
      <c r="N81" s="50">
        <f t="shared" si="51"/>
        <v>29092.400000000001</v>
      </c>
      <c r="O81" s="50">
        <f t="shared" si="51"/>
        <v>0</v>
      </c>
      <c r="P81" s="50">
        <f t="shared" si="51"/>
        <v>8345.4</v>
      </c>
      <c r="Q81" s="50">
        <f t="shared" si="51"/>
        <v>3576.6000000000008</v>
      </c>
      <c r="R81" s="50">
        <f t="shared" si="51"/>
        <v>6868.16</v>
      </c>
      <c r="S81" s="50">
        <f t="shared" si="51"/>
        <v>10302.24</v>
      </c>
      <c r="T81" s="24"/>
      <c r="U81" s="16"/>
    </row>
    <row r="82" spans="1:21" s="25" customFormat="1" ht="38.25" x14ac:dyDescent="0.25">
      <c r="A82" s="16">
        <v>3</v>
      </c>
      <c r="B82" s="34" t="s">
        <v>185</v>
      </c>
      <c r="C82" s="30" t="s">
        <v>176</v>
      </c>
      <c r="D82" s="30" t="s">
        <v>214</v>
      </c>
      <c r="E82" s="30">
        <v>2024</v>
      </c>
      <c r="F82" s="24"/>
      <c r="G82" s="50">
        <v>4320</v>
      </c>
      <c r="H82" s="50"/>
      <c r="I82" s="50"/>
      <c r="J82" s="50"/>
      <c r="K82" s="50">
        <f>+L82+M82</f>
        <v>1500</v>
      </c>
      <c r="L82" s="50"/>
      <c r="M82" s="50">
        <v>1500</v>
      </c>
      <c r="N82" s="50">
        <f t="shared" ref="N82:N93" si="52">+O82+P82+Q82+R82+S82</f>
        <v>1500</v>
      </c>
      <c r="O82" s="50"/>
      <c r="P82" s="50"/>
      <c r="Q82" s="50"/>
      <c r="R82" s="50">
        <f>+K82*40%</f>
        <v>600</v>
      </c>
      <c r="S82" s="50">
        <f>+K82-R82</f>
        <v>900</v>
      </c>
      <c r="T82" s="30" t="s">
        <v>221</v>
      </c>
      <c r="U82" s="16" t="s">
        <v>235</v>
      </c>
    </row>
    <row r="83" spans="1:21" s="25" customFormat="1" ht="51" x14ac:dyDescent="0.25">
      <c r="A83" s="16">
        <v>4</v>
      </c>
      <c r="B83" s="34" t="s">
        <v>186</v>
      </c>
      <c r="C83" s="30" t="s">
        <v>176</v>
      </c>
      <c r="D83" s="30" t="s">
        <v>123</v>
      </c>
      <c r="E83" s="30" t="s">
        <v>117</v>
      </c>
      <c r="F83" s="24"/>
      <c r="G83" s="50">
        <v>3465</v>
      </c>
      <c r="H83" s="50"/>
      <c r="I83" s="50"/>
      <c r="J83" s="50"/>
      <c r="K83" s="50">
        <f t="shared" ref="K83:K104" si="53">+L83+M83</f>
        <v>1500</v>
      </c>
      <c r="L83" s="50"/>
      <c r="M83" s="50">
        <v>1500</v>
      </c>
      <c r="N83" s="50">
        <f t="shared" si="52"/>
        <v>1500</v>
      </c>
      <c r="O83" s="50"/>
      <c r="P83" s="50"/>
      <c r="Q83" s="50"/>
      <c r="R83" s="50">
        <f t="shared" ref="R83:R91" si="54">+K83*40%</f>
        <v>600</v>
      </c>
      <c r="S83" s="50">
        <f t="shared" ref="S83:S91" si="55">+K83-R83</f>
        <v>900</v>
      </c>
      <c r="T83" s="30" t="s">
        <v>45</v>
      </c>
      <c r="U83" s="16" t="s">
        <v>235</v>
      </c>
    </row>
    <row r="84" spans="1:21" s="25" customFormat="1" ht="51" x14ac:dyDescent="0.25">
      <c r="A84" s="16">
        <v>5</v>
      </c>
      <c r="B84" s="34" t="s">
        <v>187</v>
      </c>
      <c r="C84" s="30" t="s">
        <v>176</v>
      </c>
      <c r="D84" s="30" t="s">
        <v>123</v>
      </c>
      <c r="E84" s="30" t="s">
        <v>117</v>
      </c>
      <c r="F84" s="24"/>
      <c r="G84" s="50">
        <v>2800</v>
      </c>
      <c r="H84" s="50"/>
      <c r="I84" s="50"/>
      <c r="J84" s="50"/>
      <c r="K84" s="50">
        <f t="shared" si="53"/>
        <v>2000</v>
      </c>
      <c r="L84" s="50"/>
      <c r="M84" s="50">
        <v>2000</v>
      </c>
      <c r="N84" s="50">
        <f t="shared" si="52"/>
        <v>2000</v>
      </c>
      <c r="O84" s="50"/>
      <c r="P84" s="50"/>
      <c r="Q84" s="50"/>
      <c r="R84" s="50">
        <f t="shared" si="54"/>
        <v>800</v>
      </c>
      <c r="S84" s="50">
        <f t="shared" si="55"/>
        <v>1200</v>
      </c>
      <c r="T84" s="30" t="s">
        <v>45</v>
      </c>
      <c r="U84" s="16" t="s">
        <v>235</v>
      </c>
    </row>
    <row r="85" spans="1:21" s="25" customFormat="1" ht="38.25" x14ac:dyDescent="0.25">
      <c r="A85" s="16">
        <v>6</v>
      </c>
      <c r="B85" s="34" t="s">
        <v>188</v>
      </c>
      <c r="C85" s="30" t="s">
        <v>163</v>
      </c>
      <c r="D85" s="30" t="s">
        <v>214</v>
      </c>
      <c r="E85" s="30">
        <v>2024</v>
      </c>
      <c r="F85" s="24"/>
      <c r="G85" s="50">
        <v>500</v>
      </c>
      <c r="H85" s="50"/>
      <c r="I85" s="50"/>
      <c r="J85" s="50"/>
      <c r="K85" s="50">
        <f t="shared" si="53"/>
        <v>500</v>
      </c>
      <c r="L85" s="50"/>
      <c r="M85" s="50">
        <v>500</v>
      </c>
      <c r="N85" s="50">
        <f t="shared" si="52"/>
        <v>500</v>
      </c>
      <c r="O85" s="50"/>
      <c r="P85" s="50"/>
      <c r="Q85" s="50"/>
      <c r="R85" s="50">
        <f t="shared" si="54"/>
        <v>200</v>
      </c>
      <c r="S85" s="50">
        <f t="shared" si="55"/>
        <v>300</v>
      </c>
      <c r="T85" s="30" t="s">
        <v>220</v>
      </c>
      <c r="U85" s="16" t="s">
        <v>235</v>
      </c>
    </row>
    <row r="86" spans="1:21" s="25" customFormat="1" ht="51" x14ac:dyDescent="0.25">
      <c r="A86" s="16">
        <v>7</v>
      </c>
      <c r="B86" s="34" t="s">
        <v>189</v>
      </c>
      <c r="C86" s="30" t="s">
        <v>163</v>
      </c>
      <c r="D86" s="24" t="s">
        <v>216</v>
      </c>
      <c r="E86" s="30">
        <v>2024</v>
      </c>
      <c r="F86" s="24"/>
      <c r="G86" s="50">
        <v>1000</v>
      </c>
      <c r="H86" s="50"/>
      <c r="I86" s="50"/>
      <c r="J86" s="50"/>
      <c r="K86" s="50">
        <f t="shared" si="53"/>
        <v>700</v>
      </c>
      <c r="L86" s="50"/>
      <c r="M86" s="50">
        <v>700</v>
      </c>
      <c r="N86" s="50">
        <f t="shared" si="52"/>
        <v>700</v>
      </c>
      <c r="O86" s="50"/>
      <c r="P86" s="50"/>
      <c r="Q86" s="50"/>
      <c r="R86" s="50">
        <f t="shared" si="54"/>
        <v>280</v>
      </c>
      <c r="S86" s="50">
        <f t="shared" si="55"/>
        <v>420</v>
      </c>
      <c r="T86" s="30" t="s">
        <v>45</v>
      </c>
      <c r="U86" s="16" t="s">
        <v>235</v>
      </c>
    </row>
    <row r="87" spans="1:21" s="25" customFormat="1" ht="51" x14ac:dyDescent="0.25">
      <c r="A87" s="16">
        <v>8</v>
      </c>
      <c r="B87" s="34" t="s">
        <v>190</v>
      </c>
      <c r="C87" s="30" t="s">
        <v>163</v>
      </c>
      <c r="D87" s="24" t="s">
        <v>216</v>
      </c>
      <c r="E87" s="30">
        <v>2024</v>
      </c>
      <c r="F87" s="24"/>
      <c r="G87" s="50">
        <v>1000</v>
      </c>
      <c r="H87" s="50"/>
      <c r="I87" s="50"/>
      <c r="J87" s="50"/>
      <c r="K87" s="50">
        <f t="shared" si="53"/>
        <v>700</v>
      </c>
      <c r="L87" s="50"/>
      <c r="M87" s="50">
        <v>700</v>
      </c>
      <c r="N87" s="50">
        <f t="shared" si="52"/>
        <v>700</v>
      </c>
      <c r="O87" s="50"/>
      <c r="P87" s="50"/>
      <c r="Q87" s="50"/>
      <c r="R87" s="50">
        <f t="shared" si="54"/>
        <v>280</v>
      </c>
      <c r="S87" s="50">
        <f t="shared" si="55"/>
        <v>420</v>
      </c>
      <c r="T87" s="30" t="s">
        <v>45</v>
      </c>
      <c r="U87" s="16" t="s">
        <v>235</v>
      </c>
    </row>
    <row r="88" spans="1:21" s="25" customFormat="1" ht="38.25" x14ac:dyDescent="0.25">
      <c r="A88" s="16">
        <v>9</v>
      </c>
      <c r="B88" s="34" t="s">
        <v>191</v>
      </c>
      <c r="C88" s="30" t="s">
        <v>163</v>
      </c>
      <c r="D88" s="30" t="s">
        <v>214</v>
      </c>
      <c r="E88" s="30">
        <v>2024</v>
      </c>
      <c r="F88" s="24"/>
      <c r="G88" s="50">
        <v>1800</v>
      </c>
      <c r="H88" s="50"/>
      <c r="I88" s="50"/>
      <c r="J88" s="50"/>
      <c r="K88" s="50">
        <f t="shared" si="53"/>
        <v>1800</v>
      </c>
      <c r="L88" s="50"/>
      <c r="M88" s="50">
        <v>1800</v>
      </c>
      <c r="N88" s="50">
        <f t="shared" si="52"/>
        <v>1800</v>
      </c>
      <c r="O88" s="50"/>
      <c r="P88" s="50"/>
      <c r="Q88" s="50"/>
      <c r="R88" s="50">
        <f t="shared" si="54"/>
        <v>720</v>
      </c>
      <c r="S88" s="50">
        <f t="shared" si="55"/>
        <v>1080</v>
      </c>
      <c r="T88" s="30" t="s">
        <v>220</v>
      </c>
      <c r="U88" s="16" t="s">
        <v>235</v>
      </c>
    </row>
    <row r="89" spans="1:21" s="25" customFormat="1" ht="51" x14ac:dyDescent="0.25">
      <c r="A89" s="16">
        <v>10</v>
      </c>
      <c r="B89" s="34" t="s">
        <v>192</v>
      </c>
      <c r="C89" s="30" t="s">
        <v>193</v>
      </c>
      <c r="D89" s="30" t="s">
        <v>214</v>
      </c>
      <c r="E89" s="30" t="s">
        <v>117</v>
      </c>
      <c r="F89" s="24"/>
      <c r="G89" s="50">
        <v>5600</v>
      </c>
      <c r="H89" s="50"/>
      <c r="I89" s="50"/>
      <c r="J89" s="50"/>
      <c r="K89" s="50">
        <f t="shared" si="53"/>
        <v>3235.2</v>
      </c>
      <c r="L89" s="50"/>
      <c r="M89" s="50">
        <v>3235.2</v>
      </c>
      <c r="N89" s="50">
        <f t="shared" si="52"/>
        <v>3235.2</v>
      </c>
      <c r="O89" s="50"/>
      <c r="P89" s="50"/>
      <c r="Q89" s="50"/>
      <c r="R89" s="50">
        <f t="shared" si="54"/>
        <v>1294.08</v>
      </c>
      <c r="S89" s="50">
        <f t="shared" si="55"/>
        <v>1941.12</v>
      </c>
      <c r="T89" s="30" t="s">
        <v>45</v>
      </c>
      <c r="U89" s="16" t="s">
        <v>235</v>
      </c>
    </row>
    <row r="90" spans="1:21" s="25" customFormat="1" ht="51" x14ac:dyDescent="0.25">
      <c r="A90" s="16">
        <v>11</v>
      </c>
      <c r="B90" s="34" t="s">
        <v>194</v>
      </c>
      <c r="C90" s="30" t="s">
        <v>108</v>
      </c>
      <c r="D90" s="30" t="s">
        <v>123</v>
      </c>
      <c r="E90" s="30" t="s">
        <v>139</v>
      </c>
      <c r="F90" s="24"/>
      <c r="G90" s="50">
        <v>5450</v>
      </c>
      <c r="H90" s="50"/>
      <c r="I90" s="50"/>
      <c r="J90" s="50"/>
      <c r="K90" s="50">
        <f t="shared" si="53"/>
        <v>3235.2</v>
      </c>
      <c r="L90" s="50"/>
      <c r="M90" s="50">
        <v>3235.2</v>
      </c>
      <c r="N90" s="50">
        <f t="shared" si="52"/>
        <v>3235.2</v>
      </c>
      <c r="O90" s="50"/>
      <c r="P90" s="50"/>
      <c r="Q90" s="50"/>
      <c r="R90" s="50">
        <f t="shared" si="54"/>
        <v>1294.08</v>
      </c>
      <c r="S90" s="50">
        <f t="shared" si="55"/>
        <v>1941.12</v>
      </c>
      <c r="T90" s="30" t="s">
        <v>45</v>
      </c>
      <c r="U90" s="16" t="s">
        <v>235</v>
      </c>
    </row>
    <row r="91" spans="1:21" s="25" customFormat="1" ht="51" x14ac:dyDescent="0.25">
      <c r="A91" s="16">
        <v>12</v>
      </c>
      <c r="B91" s="34" t="s">
        <v>195</v>
      </c>
      <c r="C91" s="30" t="s">
        <v>108</v>
      </c>
      <c r="D91" s="30" t="s">
        <v>123</v>
      </c>
      <c r="E91" s="30">
        <v>2024</v>
      </c>
      <c r="F91" s="24"/>
      <c r="G91" s="50">
        <v>5860</v>
      </c>
      <c r="H91" s="50"/>
      <c r="I91" s="50"/>
      <c r="J91" s="50"/>
      <c r="K91" s="50">
        <f t="shared" si="53"/>
        <v>2000</v>
      </c>
      <c r="L91" s="50"/>
      <c r="M91" s="50">
        <v>2000</v>
      </c>
      <c r="N91" s="50">
        <f t="shared" si="52"/>
        <v>2000</v>
      </c>
      <c r="O91" s="50"/>
      <c r="P91" s="50"/>
      <c r="Q91" s="50"/>
      <c r="R91" s="50">
        <f t="shared" si="54"/>
        <v>800</v>
      </c>
      <c r="S91" s="50">
        <f t="shared" si="55"/>
        <v>1200</v>
      </c>
      <c r="T91" s="30" t="s">
        <v>45</v>
      </c>
      <c r="U91" s="16" t="s">
        <v>235</v>
      </c>
    </row>
    <row r="92" spans="1:21" s="25" customFormat="1" ht="51" x14ac:dyDescent="0.25">
      <c r="A92" s="16">
        <v>13</v>
      </c>
      <c r="B92" s="34" t="s">
        <v>196</v>
      </c>
      <c r="C92" s="30" t="s">
        <v>41</v>
      </c>
      <c r="D92" s="30" t="s">
        <v>214</v>
      </c>
      <c r="E92" s="30" t="s">
        <v>61</v>
      </c>
      <c r="F92" s="24"/>
      <c r="G92" s="50">
        <v>12000</v>
      </c>
      <c r="H92" s="50"/>
      <c r="I92" s="50"/>
      <c r="J92" s="50">
        <v>6892</v>
      </c>
      <c r="K92" s="50">
        <f t="shared" si="53"/>
        <v>5108</v>
      </c>
      <c r="L92" s="50"/>
      <c r="M92" s="50">
        <v>5108</v>
      </c>
      <c r="N92" s="50">
        <f t="shared" si="52"/>
        <v>5108</v>
      </c>
      <c r="O92" s="77"/>
      <c r="P92" s="50">
        <f>+K92*70%</f>
        <v>3575.6</v>
      </c>
      <c r="Q92" s="50">
        <f>+K92-P92</f>
        <v>1532.4</v>
      </c>
      <c r="R92" s="50"/>
      <c r="S92" s="50"/>
      <c r="T92" s="30" t="s">
        <v>45</v>
      </c>
      <c r="U92" s="16" t="s">
        <v>234</v>
      </c>
    </row>
    <row r="93" spans="1:21" s="25" customFormat="1" ht="51" x14ac:dyDescent="0.25">
      <c r="A93" s="16">
        <v>14</v>
      </c>
      <c r="B93" s="34" t="s">
        <v>197</v>
      </c>
      <c r="C93" s="30" t="s">
        <v>198</v>
      </c>
      <c r="D93" s="30" t="s">
        <v>214</v>
      </c>
      <c r="E93" s="30" t="s">
        <v>61</v>
      </c>
      <c r="F93" s="24"/>
      <c r="G93" s="50">
        <v>12200</v>
      </c>
      <c r="H93" s="50"/>
      <c r="I93" s="50"/>
      <c r="J93" s="50">
        <v>5386</v>
      </c>
      <c r="K93" s="50">
        <f t="shared" si="53"/>
        <v>6814</v>
      </c>
      <c r="L93" s="50"/>
      <c r="M93" s="50">
        <v>6814</v>
      </c>
      <c r="N93" s="50">
        <f t="shared" si="52"/>
        <v>6814</v>
      </c>
      <c r="O93" s="50"/>
      <c r="P93" s="50">
        <f>+K93*70%</f>
        <v>4769.7999999999993</v>
      </c>
      <c r="Q93" s="50">
        <f>+K93-P93</f>
        <v>2044.2000000000007</v>
      </c>
      <c r="R93" s="50"/>
      <c r="S93" s="50"/>
      <c r="T93" s="30" t="s">
        <v>45</v>
      </c>
      <c r="U93" s="16" t="s">
        <v>234</v>
      </c>
    </row>
    <row r="94" spans="1:21" s="25" customFormat="1" ht="12.75" x14ac:dyDescent="0.25">
      <c r="A94" s="16" t="s">
        <v>147</v>
      </c>
      <c r="B94" s="17" t="s">
        <v>199</v>
      </c>
      <c r="C94" s="16"/>
      <c r="D94" s="24"/>
      <c r="E94" s="30"/>
      <c r="F94" s="24"/>
      <c r="G94" s="50">
        <f>+G95+G96+G97+G98+G99+G100+G101</f>
        <v>10614</v>
      </c>
      <c r="H94" s="50">
        <f t="shared" ref="H94:S94" si="56">+H95+H96+H97+H98+H99+H100+H101</f>
        <v>0</v>
      </c>
      <c r="I94" s="50">
        <f t="shared" si="56"/>
        <v>0</v>
      </c>
      <c r="J94" s="50">
        <f t="shared" si="56"/>
        <v>2056</v>
      </c>
      <c r="K94" s="50">
        <f t="shared" si="56"/>
        <v>6912</v>
      </c>
      <c r="L94" s="50">
        <f t="shared" si="56"/>
        <v>0</v>
      </c>
      <c r="M94" s="50">
        <f t="shared" si="56"/>
        <v>6912</v>
      </c>
      <c r="N94" s="50">
        <f t="shared" si="56"/>
        <v>6912</v>
      </c>
      <c r="O94" s="50">
        <f t="shared" si="56"/>
        <v>927</v>
      </c>
      <c r="P94" s="50">
        <f t="shared" si="56"/>
        <v>0</v>
      </c>
      <c r="Q94" s="50">
        <f t="shared" si="56"/>
        <v>0</v>
      </c>
      <c r="R94" s="50">
        <f t="shared" si="56"/>
        <v>2394.0000000000005</v>
      </c>
      <c r="S94" s="50">
        <f t="shared" si="56"/>
        <v>3590.9999999999995</v>
      </c>
      <c r="T94" s="24"/>
      <c r="U94" s="16"/>
    </row>
    <row r="95" spans="1:21" s="25" customFormat="1" ht="51" x14ac:dyDescent="0.25">
      <c r="A95" s="16">
        <v>15</v>
      </c>
      <c r="B95" s="34" t="s">
        <v>200</v>
      </c>
      <c r="C95" s="30" t="s">
        <v>130</v>
      </c>
      <c r="D95" s="24" t="s">
        <v>216</v>
      </c>
      <c r="E95" s="30">
        <v>2024</v>
      </c>
      <c r="F95" s="24"/>
      <c r="G95" s="50">
        <v>1196</v>
      </c>
      <c r="H95" s="50"/>
      <c r="I95" s="50"/>
      <c r="J95" s="50"/>
      <c r="K95" s="50">
        <f t="shared" si="53"/>
        <v>600</v>
      </c>
      <c r="L95" s="50"/>
      <c r="M95" s="50">
        <v>600</v>
      </c>
      <c r="N95" s="50">
        <f t="shared" ref="N95:N106" si="57">+O95+P95+Q95+R95+S95</f>
        <v>600</v>
      </c>
      <c r="O95" s="50"/>
      <c r="P95" s="50"/>
      <c r="Q95" s="50"/>
      <c r="R95" s="50">
        <f>+K95*40%</f>
        <v>240</v>
      </c>
      <c r="S95" s="50">
        <f>+K95-R95</f>
        <v>360</v>
      </c>
      <c r="T95" s="30" t="s">
        <v>222</v>
      </c>
      <c r="U95" s="16" t="s">
        <v>235</v>
      </c>
    </row>
    <row r="96" spans="1:21" s="25" customFormat="1" ht="51" x14ac:dyDescent="0.25">
      <c r="A96" s="16">
        <v>16</v>
      </c>
      <c r="B96" s="34" t="s">
        <v>201</v>
      </c>
      <c r="C96" s="30" t="s">
        <v>137</v>
      </c>
      <c r="D96" s="30" t="s">
        <v>214</v>
      </c>
      <c r="E96" s="30">
        <v>2024</v>
      </c>
      <c r="F96" s="24"/>
      <c r="G96" s="50">
        <v>2800</v>
      </c>
      <c r="H96" s="50"/>
      <c r="I96" s="50"/>
      <c r="J96" s="50"/>
      <c r="K96" s="50">
        <f t="shared" si="53"/>
        <v>1750</v>
      </c>
      <c r="L96" s="50"/>
      <c r="M96" s="50">
        <v>1750</v>
      </c>
      <c r="N96" s="50">
        <f t="shared" si="57"/>
        <v>1750</v>
      </c>
      <c r="O96" s="50"/>
      <c r="P96" s="50"/>
      <c r="Q96" s="50"/>
      <c r="R96" s="50">
        <f t="shared" ref="R96:R101" si="58">+K96*40%</f>
        <v>700</v>
      </c>
      <c r="S96" s="50">
        <f t="shared" ref="S96:S101" si="59">+K96-R96</f>
        <v>1050</v>
      </c>
      <c r="T96" s="30" t="s">
        <v>45</v>
      </c>
      <c r="U96" s="16" t="s">
        <v>235</v>
      </c>
    </row>
    <row r="97" spans="1:22" s="25" customFormat="1" ht="38.25" x14ac:dyDescent="0.25">
      <c r="A97" s="16">
        <v>17</v>
      </c>
      <c r="B97" s="34" t="s">
        <v>202</v>
      </c>
      <c r="C97" s="30" t="s">
        <v>52</v>
      </c>
      <c r="D97" s="30" t="s">
        <v>214</v>
      </c>
      <c r="E97" s="30">
        <v>2024</v>
      </c>
      <c r="F97" s="24"/>
      <c r="G97" s="50">
        <v>651</v>
      </c>
      <c r="H97" s="50"/>
      <c r="I97" s="50"/>
      <c r="J97" s="50"/>
      <c r="K97" s="50">
        <f t="shared" si="53"/>
        <v>651</v>
      </c>
      <c r="L97" s="50"/>
      <c r="M97" s="50">
        <v>651</v>
      </c>
      <c r="N97" s="50">
        <f t="shared" si="57"/>
        <v>651</v>
      </c>
      <c r="O97" s="50"/>
      <c r="P97" s="50"/>
      <c r="Q97" s="50"/>
      <c r="R97" s="50">
        <f t="shared" si="58"/>
        <v>260.40000000000003</v>
      </c>
      <c r="S97" s="50">
        <f t="shared" si="59"/>
        <v>390.59999999999997</v>
      </c>
      <c r="T97" s="30" t="s">
        <v>223</v>
      </c>
      <c r="U97" s="16" t="s">
        <v>235</v>
      </c>
    </row>
    <row r="98" spans="1:22" s="25" customFormat="1" ht="51" x14ac:dyDescent="0.25">
      <c r="A98" s="16">
        <v>18</v>
      </c>
      <c r="B98" s="34" t="s">
        <v>203</v>
      </c>
      <c r="C98" s="30" t="s">
        <v>204</v>
      </c>
      <c r="D98" s="30" t="s">
        <v>214</v>
      </c>
      <c r="E98" s="30" t="s">
        <v>61</v>
      </c>
      <c r="F98" s="24"/>
      <c r="G98" s="50">
        <v>2332</v>
      </c>
      <c r="H98" s="50"/>
      <c r="I98" s="50"/>
      <c r="J98" s="50">
        <v>2056</v>
      </c>
      <c r="K98" s="50">
        <f t="shared" si="53"/>
        <v>276</v>
      </c>
      <c r="L98" s="50"/>
      <c r="M98" s="50">
        <v>276</v>
      </c>
      <c r="N98" s="50">
        <f t="shared" si="57"/>
        <v>276</v>
      </c>
      <c r="O98" s="50">
        <f>+K98</f>
        <v>276</v>
      </c>
      <c r="P98" s="50"/>
      <c r="Q98" s="50"/>
      <c r="R98" s="50"/>
      <c r="S98" s="50"/>
      <c r="T98" s="30" t="s">
        <v>45</v>
      </c>
      <c r="U98" s="16" t="s">
        <v>233</v>
      </c>
    </row>
    <row r="99" spans="1:22" s="25" customFormat="1" ht="51" x14ac:dyDescent="0.25">
      <c r="A99" s="16">
        <v>19</v>
      </c>
      <c r="B99" s="34" t="s">
        <v>205</v>
      </c>
      <c r="C99" s="30" t="s">
        <v>204</v>
      </c>
      <c r="D99" s="30" t="s">
        <v>217</v>
      </c>
      <c r="E99" s="16">
        <v>2024</v>
      </c>
      <c r="F99" s="24"/>
      <c r="G99" s="50">
        <v>2332</v>
      </c>
      <c r="H99" s="50"/>
      <c r="I99" s="50"/>
      <c r="J99" s="50"/>
      <c r="K99" s="50">
        <f t="shared" si="53"/>
        <v>2332</v>
      </c>
      <c r="L99" s="50"/>
      <c r="M99" s="50">
        <v>2332</v>
      </c>
      <c r="N99" s="50">
        <f t="shared" si="57"/>
        <v>2332</v>
      </c>
      <c r="O99" s="50"/>
      <c r="P99" s="50"/>
      <c r="Q99" s="50"/>
      <c r="R99" s="50">
        <f t="shared" si="58"/>
        <v>932.80000000000007</v>
      </c>
      <c r="S99" s="50">
        <f>+K99-R99</f>
        <v>1399.1999999999998</v>
      </c>
      <c r="T99" s="30" t="s">
        <v>45</v>
      </c>
      <c r="U99" s="16" t="s">
        <v>235</v>
      </c>
    </row>
    <row r="100" spans="1:22" s="25" customFormat="1" ht="38.25" x14ac:dyDescent="0.25">
      <c r="A100" s="16">
        <v>20</v>
      </c>
      <c r="B100" s="34" t="s">
        <v>206</v>
      </c>
      <c r="C100" s="30" t="s">
        <v>86</v>
      </c>
      <c r="D100" s="30" t="s">
        <v>214</v>
      </c>
      <c r="E100" s="30" t="s">
        <v>139</v>
      </c>
      <c r="F100" s="24"/>
      <c r="G100" s="50">
        <v>651</v>
      </c>
      <c r="H100" s="50"/>
      <c r="I100" s="50"/>
      <c r="J100" s="50"/>
      <c r="K100" s="50">
        <f t="shared" si="53"/>
        <v>651</v>
      </c>
      <c r="L100" s="50"/>
      <c r="M100" s="50">
        <v>651</v>
      </c>
      <c r="N100" s="50">
        <f t="shared" si="57"/>
        <v>651</v>
      </c>
      <c r="O100" s="50">
        <f>+K100</f>
        <v>651</v>
      </c>
      <c r="P100" s="50"/>
      <c r="Q100" s="50"/>
      <c r="R100" s="50"/>
      <c r="S100" s="50"/>
      <c r="T100" s="30" t="s">
        <v>224</v>
      </c>
      <c r="U100" s="16" t="s">
        <v>233</v>
      </c>
    </row>
    <row r="101" spans="1:22" s="25" customFormat="1" ht="38.25" x14ac:dyDescent="0.25">
      <c r="A101" s="16">
        <v>21</v>
      </c>
      <c r="B101" s="34" t="s">
        <v>207</v>
      </c>
      <c r="C101" s="30" t="s">
        <v>90</v>
      </c>
      <c r="D101" s="30" t="s">
        <v>214</v>
      </c>
      <c r="E101" s="30">
        <v>2024</v>
      </c>
      <c r="F101" s="24"/>
      <c r="G101" s="50">
        <v>652</v>
      </c>
      <c r="H101" s="50"/>
      <c r="I101" s="50"/>
      <c r="J101" s="50"/>
      <c r="K101" s="50">
        <f t="shared" si="53"/>
        <v>652</v>
      </c>
      <c r="L101" s="50"/>
      <c r="M101" s="50">
        <v>652</v>
      </c>
      <c r="N101" s="50">
        <f t="shared" si="57"/>
        <v>652</v>
      </c>
      <c r="O101" s="50"/>
      <c r="P101" s="50"/>
      <c r="Q101" s="50"/>
      <c r="R101" s="50">
        <f t="shared" si="58"/>
        <v>260.8</v>
      </c>
      <c r="S101" s="50">
        <f t="shared" si="59"/>
        <v>391.2</v>
      </c>
      <c r="T101" s="30" t="s">
        <v>225</v>
      </c>
      <c r="U101" s="16" t="s">
        <v>235</v>
      </c>
    </row>
    <row r="102" spans="1:22" s="28" customFormat="1" ht="25.5" x14ac:dyDescent="0.25">
      <c r="A102" s="19" t="s">
        <v>146</v>
      </c>
      <c r="B102" s="23" t="s">
        <v>208</v>
      </c>
      <c r="C102" s="19"/>
      <c r="D102" s="27"/>
      <c r="E102" s="14"/>
      <c r="F102" s="27"/>
      <c r="G102" s="38">
        <f>+G103+G104</f>
        <v>18000</v>
      </c>
      <c r="H102" s="38">
        <f t="shared" ref="H102:S102" si="60">+H103+H104</f>
        <v>0</v>
      </c>
      <c r="I102" s="38">
        <f t="shared" si="60"/>
        <v>0</v>
      </c>
      <c r="J102" s="38">
        <f t="shared" si="60"/>
        <v>5982</v>
      </c>
      <c r="K102" s="38">
        <f t="shared" si="60"/>
        <v>7474</v>
      </c>
      <c r="L102" s="38">
        <f t="shared" si="60"/>
        <v>0</v>
      </c>
      <c r="M102" s="38">
        <f t="shared" si="60"/>
        <v>7474</v>
      </c>
      <c r="N102" s="38">
        <f t="shared" si="60"/>
        <v>7474</v>
      </c>
      <c r="O102" s="38">
        <f t="shared" si="60"/>
        <v>2018</v>
      </c>
      <c r="P102" s="38">
        <f t="shared" si="60"/>
        <v>0</v>
      </c>
      <c r="Q102" s="38">
        <f t="shared" si="60"/>
        <v>0</v>
      </c>
      <c r="R102" s="38">
        <f t="shared" si="60"/>
        <v>2182.4</v>
      </c>
      <c r="S102" s="38">
        <f t="shared" si="60"/>
        <v>3273.6</v>
      </c>
      <c r="T102" s="27"/>
      <c r="U102" s="19"/>
    </row>
    <row r="103" spans="1:22" s="25" customFormat="1" ht="51" x14ac:dyDescent="0.25">
      <c r="A103" s="16">
        <v>22</v>
      </c>
      <c r="B103" s="34" t="s">
        <v>209</v>
      </c>
      <c r="C103" s="30" t="s">
        <v>108</v>
      </c>
      <c r="D103" s="24" t="s">
        <v>123</v>
      </c>
      <c r="E103" s="30" t="s">
        <v>139</v>
      </c>
      <c r="F103" s="24"/>
      <c r="G103" s="50">
        <v>8000</v>
      </c>
      <c r="H103" s="50"/>
      <c r="I103" s="50"/>
      <c r="J103" s="50">
        <v>5982</v>
      </c>
      <c r="K103" s="50">
        <f t="shared" si="53"/>
        <v>2018</v>
      </c>
      <c r="L103" s="50"/>
      <c r="M103" s="50">
        <v>2018</v>
      </c>
      <c r="N103" s="50">
        <f t="shared" si="57"/>
        <v>2018</v>
      </c>
      <c r="O103" s="50">
        <f>+K103</f>
        <v>2018</v>
      </c>
      <c r="P103" s="50"/>
      <c r="Q103" s="50"/>
      <c r="R103" s="50"/>
      <c r="S103" s="50"/>
      <c r="T103" s="30" t="s">
        <v>45</v>
      </c>
      <c r="U103" s="16" t="s">
        <v>233</v>
      </c>
    </row>
    <row r="104" spans="1:22" s="25" customFormat="1" ht="51" x14ac:dyDescent="0.25">
      <c r="A104" s="16">
        <v>23</v>
      </c>
      <c r="B104" s="34" t="s">
        <v>210</v>
      </c>
      <c r="C104" s="30" t="s">
        <v>198</v>
      </c>
      <c r="D104" s="24" t="s">
        <v>123</v>
      </c>
      <c r="E104" s="30" t="s">
        <v>117</v>
      </c>
      <c r="F104" s="24"/>
      <c r="G104" s="50">
        <v>10000</v>
      </c>
      <c r="H104" s="50"/>
      <c r="I104" s="50"/>
      <c r="J104" s="50"/>
      <c r="K104" s="50">
        <f t="shared" si="53"/>
        <v>5456</v>
      </c>
      <c r="L104" s="50"/>
      <c r="M104" s="50">
        <v>5456</v>
      </c>
      <c r="N104" s="50">
        <f t="shared" si="57"/>
        <v>5456</v>
      </c>
      <c r="O104" s="50"/>
      <c r="P104" s="50"/>
      <c r="Q104" s="50"/>
      <c r="R104" s="50">
        <f t="shared" ref="R104" si="61">+K104*40%</f>
        <v>2182.4</v>
      </c>
      <c r="S104" s="50">
        <f t="shared" ref="S104" si="62">+K104-R104</f>
        <v>3273.6</v>
      </c>
      <c r="T104" s="30" t="s">
        <v>45</v>
      </c>
      <c r="U104" s="16" t="s">
        <v>235</v>
      </c>
    </row>
    <row r="105" spans="1:22" s="28" customFormat="1" ht="38.25" x14ac:dyDescent="0.25">
      <c r="A105" s="19" t="s">
        <v>146</v>
      </c>
      <c r="B105" s="23" t="s">
        <v>211</v>
      </c>
      <c r="C105" s="27"/>
      <c r="D105" s="27"/>
      <c r="E105" s="14"/>
      <c r="F105" s="27"/>
      <c r="G105" s="38">
        <f>+G106</f>
        <v>173</v>
      </c>
      <c r="H105" s="38"/>
      <c r="I105" s="38"/>
      <c r="J105" s="38"/>
      <c r="K105" s="38">
        <f>+K106</f>
        <v>173</v>
      </c>
      <c r="L105" s="38">
        <f t="shared" ref="L105:S105" si="63">+L106</f>
        <v>0</v>
      </c>
      <c r="M105" s="38">
        <f t="shared" si="63"/>
        <v>173</v>
      </c>
      <c r="N105" s="38">
        <f t="shared" si="63"/>
        <v>173</v>
      </c>
      <c r="O105" s="38">
        <f t="shared" si="63"/>
        <v>0</v>
      </c>
      <c r="P105" s="38">
        <f t="shared" si="63"/>
        <v>0</v>
      </c>
      <c r="Q105" s="38">
        <f t="shared" si="63"/>
        <v>0</v>
      </c>
      <c r="R105" s="38">
        <f t="shared" si="63"/>
        <v>69.2</v>
      </c>
      <c r="S105" s="38">
        <f t="shared" si="63"/>
        <v>103.8</v>
      </c>
      <c r="T105" s="27"/>
      <c r="U105" s="19"/>
    </row>
    <row r="106" spans="1:22" s="25" customFormat="1" ht="38.25" x14ac:dyDescent="0.25">
      <c r="A106" s="16">
        <v>24</v>
      </c>
      <c r="B106" s="34" t="s">
        <v>212</v>
      </c>
      <c r="C106" s="30" t="s">
        <v>213</v>
      </c>
      <c r="D106" s="24" t="s">
        <v>123</v>
      </c>
      <c r="E106" s="30">
        <v>2024</v>
      </c>
      <c r="F106" s="24"/>
      <c r="G106" s="50">
        <v>173</v>
      </c>
      <c r="H106" s="50"/>
      <c r="I106" s="50"/>
      <c r="J106" s="50"/>
      <c r="K106" s="50">
        <f>+L106+M106</f>
        <v>173</v>
      </c>
      <c r="L106" s="50"/>
      <c r="M106" s="50">
        <v>173</v>
      </c>
      <c r="N106" s="50">
        <f t="shared" si="57"/>
        <v>173</v>
      </c>
      <c r="O106" s="50"/>
      <c r="P106" s="50"/>
      <c r="Q106" s="50"/>
      <c r="R106" s="50">
        <f t="shared" ref="R106" si="64">+K106*40%</f>
        <v>69.2</v>
      </c>
      <c r="S106" s="50">
        <f>+K106-R106</f>
        <v>103.8</v>
      </c>
      <c r="T106" s="30" t="s">
        <v>221</v>
      </c>
      <c r="U106" s="16" t="s">
        <v>235</v>
      </c>
    </row>
    <row r="107" spans="1:22" s="25" customFormat="1" ht="12.75" x14ac:dyDescent="0.25">
      <c r="A107" s="36" t="s">
        <v>321</v>
      </c>
      <c r="B107" s="36" t="s">
        <v>322</v>
      </c>
      <c r="C107" s="30"/>
      <c r="D107" s="24"/>
      <c r="E107" s="30"/>
      <c r="F107" s="37">
        <f t="shared" ref="F107:S107" si="65">F108+F121</f>
        <v>0</v>
      </c>
      <c r="G107" s="38">
        <f t="shared" si="65"/>
        <v>14049.201000000001</v>
      </c>
      <c r="H107" s="38">
        <f t="shared" si="65"/>
        <v>0</v>
      </c>
      <c r="I107" s="38">
        <f t="shared" si="65"/>
        <v>0</v>
      </c>
      <c r="J107" s="38">
        <f t="shared" si="65"/>
        <v>0</v>
      </c>
      <c r="K107" s="38">
        <f t="shared" si="65"/>
        <v>2353.9540000000002</v>
      </c>
      <c r="L107" s="38">
        <f t="shared" si="65"/>
        <v>2353.9540000000002</v>
      </c>
      <c r="M107" s="38">
        <f t="shared" si="65"/>
        <v>0</v>
      </c>
      <c r="N107" s="38">
        <f t="shared" si="65"/>
        <v>2353.9540000000002</v>
      </c>
      <c r="O107" s="38">
        <f t="shared" si="65"/>
        <v>2315.9540000000002</v>
      </c>
      <c r="P107" s="38">
        <f t="shared" si="65"/>
        <v>0</v>
      </c>
      <c r="Q107" s="38">
        <f t="shared" si="65"/>
        <v>0</v>
      </c>
      <c r="R107" s="38">
        <f t="shared" si="65"/>
        <v>15.200000000000001</v>
      </c>
      <c r="S107" s="38">
        <f t="shared" si="65"/>
        <v>22.799999999999997</v>
      </c>
      <c r="T107" s="30"/>
      <c r="U107" s="16"/>
      <c r="V107" s="25">
        <f>O107/K107</f>
        <v>0.98385694877639918</v>
      </c>
    </row>
    <row r="108" spans="1:22" s="25" customFormat="1" ht="38.25" x14ac:dyDescent="0.25">
      <c r="A108" s="39" t="s">
        <v>33</v>
      </c>
      <c r="B108" s="39" t="s">
        <v>312</v>
      </c>
      <c r="C108" s="30"/>
      <c r="D108" s="24"/>
      <c r="E108" s="30"/>
      <c r="F108" s="41">
        <f t="shared" ref="F108:K108" si="66">F109</f>
        <v>0</v>
      </c>
      <c r="G108" s="42">
        <f t="shared" si="66"/>
        <v>0</v>
      </c>
      <c r="H108" s="42">
        <f t="shared" si="66"/>
        <v>0</v>
      </c>
      <c r="I108" s="42">
        <f t="shared" si="66"/>
        <v>0</v>
      </c>
      <c r="J108" s="42">
        <f t="shared" si="66"/>
        <v>0</v>
      </c>
      <c r="K108" s="42">
        <f t="shared" si="66"/>
        <v>133.31200000000001</v>
      </c>
      <c r="L108" s="42">
        <f>L109</f>
        <v>133.31200000000001</v>
      </c>
      <c r="M108" s="42">
        <f t="shared" ref="M108:S108" si="67">M109</f>
        <v>0</v>
      </c>
      <c r="N108" s="42">
        <f t="shared" si="67"/>
        <v>133.31200000000001</v>
      </c>
      <c r="O108" s="42">
        <f t="shared" si="67"/>
        <v>95.312000000000012</v>
      </c>
      <c r="P108" s="42">
        <f t="shared" si="67"/>
        <v>0</v>
      </c>
      <c r="Q108" s="42">
        <f t="shared" si="67"/>
        <v>0</v>
      </c>
      <c r="R108" s="42">
        <f t="shared" si="67"/>
        <v>15.200000000000001</v>
      </c>
      <c r="S108" s="42">
        <f t="shared" si="67"/>
        <v>22.799999999999997</v>
      </c>
      <c r="T108" s="30"/>
      <c r="U108" s="16"/>
    </row>
    <row r="109" spans="1:22" s="25" customFormat="1" ht="12.75" x14ac:dyDescent="0.25">
      <c r="A109" s="36"/>
      <c r="B109" s="36" t="s">
        <v>313</v>
      </c>
      <c r="C109" s="30"/>
      <c r="D109" s="24"/>
      <c r="E109" s="30"/>
      <c r="F109" s="44">
        <f t="shared" ref="F109:K109" si="68">F110+F114+F118</f>
        <v>0</v>
      </c>
      <c r="G109" s="45">
        <f t="shared" si="68"/>
        <v>0</v>
      </c>
      <c r="H109" s="45">
        <f t="shared" si="68"/>
        <v>0</v>
      </c>
      <c r="I109" s="45">
        <f t="shared" si="68"/>
        <v>0</v>
      </c>
      <c r="J109" s="45">
        <f t="shared" si="68"/>
        <v>0</v>
      </c>
      <c r="K109" s="45">
        <f t="shared" si="68"/>
        <v>133.31200000000001</v>
      </c>
      <c r="L109" s="45">
        <f>L110+L114+L118</f>
        <v>133.31200000000001</v>
      </c>
      <c r="M109" s="45">
        <f t="shared" ref="M109:S109" si="69">M110+M114+M118</f>
        <v>0</v>
      </c>
      <c r="N109" s="45">
        <f t="shared" si="69"/>
        <v>133.31200000000001</v>
      </c>
      <c r="O109" s="45">
        <f t="shared" si="69"/>
        <v>95.312000000000012</v>
      </c>
      <c r="P109" s="45">
        <f t="shared" si="69"/>
        <v>0</v>
      </c>
      <c r="Q109" s="45">
        <f t="shared" si="69"/>
        <v>0</v>
      </c>
      <c r="R109" s="45">
        <f t="shared" si="69"/>
        <v>15.200000000000001</v>
      </c>
      <c r="S109" s="45">
        <f t="shared" si="69"/>
        <v>22.799999999999997</v>
      </c>
      <c r="T109" s="30"/>
      <c r="U109" s="16"/>
    </row>
    <row r="110" spans="1:22" s="25" customFormat="1" ht="25.5" x14ac:dyDescent="0.25">
      <c r="A110" s="46"/>
      <c r="B110" s="23" t="s">
        <v>179</v>
      </c>
      <c r="C110" s="30"/>
      <c r="D110" s="24"/>
      <c r="E110" s="30"/>
      <c r="F110" s="47">
        <f t="shared" ref="F110:K110" si="70">SUM(F111:F113)</f>
        <v>0</v>
      </c>
      <c r="G110" s="48">
        <f t="shared" si="70"/>
        <v>0</v>
      </c>
      <c r="H110" s="48">
        <f t="shared" si="70"/>
        <v>0</v>
      </c>
      <c r="I110" s="48">
        <f t="shared" si="70"/>
        <v>0</v>
      </c>
      <c r="J110" s="48">
        <f t="shared" si="70"/>
        <v>0</v>
      </c>
      <c r="K110" s="48">
        <f t="shared" si="70"/>
        <v>51.840999999999994</v>
      </c>
      <c r="L110" s="48">
        <f t="shared" ref="L110:S110" si="71">SUM(L111:L113)</f>
        <v>51.840999999999994</v>
      </c>
      <c r="M110" s="48">
        <f t="shared" si="71"/>
        <v>0</v>
      </c>
      <c r="N110" s="48">
        <f t="shared" si="71"/>
        <v>51.840999999999994</v>
      </c>
      <c r="O110" s="48">
        <f t="shared" si="71"/>
        <v>13.841000000000001</v>
      </c>
      <c r="P110" s="48">
        <f t="shared" si="71"/>
        <v>0</v>
      </c>
      <c r="Q110" s="48">
        <f t="shared" si="71"/>
        <v>0</v>
      </c>
      <c r="R110" s="48">
        <f t="shared" si="71"/>
        <v>15.200000000000001</v>
      </c>
      <c r="S110" s="48">
        <f t="shared" si="71"/>
        <v>22.799999999999997</v>
      </c>
      <c r="T110" s="30"/>
      <c r="U110" s="16"/>
    </row>
    <row r="111" spans="1:22" s="25" customFormat="1" ht="38.25" x14ac:dyDescent="0.25">
      <c r="A111" s="49">
        <v>1</v>
      </c>
      <c r="B111" s="34" t="s">
        <v>314</v>
      </c>
      <c r="C111" s="30"/>
      <c r="D111" s="24"/>
      <c r="E111" s="30"/>
      <c r="F111" s="24"/>
      <c r="G111" s="50"/>
      <c r="H111" s="50"/>
      <c r="I111" s="50"/>
      <c r="J111" s="50"/>
      <c r="K111" s="50">
        <f t="shared" ref="K111:K113" si="72">+L111+M111</f>
        <v>38</v>
      </c>
      <c r="L111" s="51">
        <v>38</v>
      </c>
      <c r="M111" s="50"/>
      <c r="N111" s="50">
        <f t="shared" ref="N111:N113" si="73">+O111+P111+Q111+R111+S111</f>
        <v>38</v>
      </c>
      <c r="O111" s="50"/>
      <c r="P111" s="50"/>
      <c r="Q111" s="50"/>
      <c r="R111" s="50">
        <f t="shared" ref="R111" si="74">+K111*40%</f>
        <v>15.200000000000001</v>
      </c>
      <c r="S111" s="50">
        <f>+K111-R111</f>
        <v>22.799999999999997</v>
      </c>
      <c r="T111" s="30"/>
      <c r="U111" s="30" t="s">
        <v>324</v>
      </c>
    </row>
    <row r="112" spans="1:22" s="25" customFormat="1" ht="25.5" x14ac:dyDescent="0.25">
      <c r="A112" s="49">
        <v>2</v>
      </c>
      <c r="B112" s="66" t="s">
        <v>315</v>
      </c>
      <c r="C112" s="30"/>
      <c r="D112" s="24"/>
      <c r="E112" s="30"/>
      <c r="F112" s="24"/>
      <c r="G112" s="50"/>
      <c r="H112" s="50"/>
      <c r="I112" s="50"/>
      <c r="J112" s="50"/>
      <c r="K112" s="50">
        <f t="shared" si="72"/>
        <v>3.0529999999999999</v>
      </c>
      <c r="L112" s="51">
        <v>3.0529999999999999</v>
      </c>
      <c r="M112" s="50"/>
      <c r="N112" s="50">
        <f t="shared" si="73"/>
        <v>3.0529999999999999</v>
      </c>
      <c r="O112" s="50">
        <f t="shared" ref="O112:O113" si="75">+K112</f>
        <v>3.0529999999999999</v>
      </c>
      <c r="P112" s="50"/>
      <c r="Q112" s="50"/>
      <c r="R112" s="50"/>
      <c r="S112" s="50"/>
      <c r="T112" s="30"/>
      <c r="U112" s="16" t="s">
        <v>233</v>
      </c>
    </row>
    <row r="113" spans="1:21" s="25" customFormat="1" ht="12.75" x14ac:dyDescent="0.25">
      <c r="A113" s="30">
        <v>3</v>
      </c>
      <c r="B113" s="66" t="s">
        <v>316</v>
      </c>
      <c r="C113" s="30"/>
      <c r="D113" s="24"/>
      <c r="E113" s="30"/>
      <c r="F113" s="24"/>
      <c r="G113" s="50"/>
      <c r="H113" s="50"/>
      <c r="I113" s="50"/>
      <c r="J113" s="50"/>
      <c r="K113" s="50">
        <f t="shared" si="72"/>
        <v>10.788</v>
      </c>
      <c r="L113" s="50">
        <v>10.788</v>
      </c>
      <c r="M113" s="50"/>
      <c r="N113" s="50">
        <f t="shared" si="73"/>
        <v>10.788</v>
      </c>
      <c r="O113" s="50">
        <f t="shared" si="75"/>
        <v>10.788</v>
      </c>
      <c r="P113" s="50"/>
      <c r="Q113" s="50"/>
      <c r="R113" s="50"/>
      <c r="S113" s="50"/>
      <c r="T113" s="30"/>
      <c r="U113" s="16" t="s">
        <v>233</v>
      </c>
    </row>
    <row r="114" spans="1:21" s="25" customFormat="1" ht="63.75" x14ac:dyDescent="0.25">
      <c r="A114" s="30"/>
      <c r="B114" s="23" t="str">
        <f>[1]Sheet1!$B$13</f>
        <v>Dự án 4: Đầu tư cơ sở hạ tầng thiết yếu, phục vụ sản xuất, đời sống trong vùng đồng bào dân tộc thiểu số và miền núi và các đơn vị sự nghiệp công của lĩnh vực dân tộc</v>
      </c>
      <c r="C114" s="30"/>
      <c r="D114" s="24"/>
      <c r="E114" s="30"/>
      <c r="F114" s="47">
        <f t="shared" ref="F114:R114" si="76">F115</f>
        <v>0</v>
      </c>
      <c r="G114" s="48">
        <f t="shared" si="76"/>
        <v>0</v>
      </c>
      <c r="H114" s="48">
        <f t="shared" si="76"/>
        <v>0</v>
      </c>
      <c r="I114" s="48">
        <f t="shared" si="76"/>
        <v>0</v>
      </c>
      <c r="J114" s="48">
        <f t="shared" si="76"/>
        <v>0</v>
      </c>
      <c r="K114" s="48">
        <f t="shared" si="76"/>
        <v>60.191000000000003</v>
      </c>
      <c r="L114" s="48">
        <f t="shared" si="76"/>
        <v>60.191000000000003</v>
      </c>
      <c r="M114" s="48">
        <f t="shared" si="76"/>
        <v>0</v>
      </c>
      <c r="N114" s="48">
        <f t="shared" si="76"/>
        <v>60.191000000000003</v>
      </c>
      <c r="O114" s="48">
        <f t="shared" si="76"/>
        <v>60.191000000000003</v>
      </c>
      <c r="P114" s="48">
        <f t="shared" si="76"/>
        <v>0</v>
      </c>
      <c r="Q114" s="48">
        <f t="shared" si="76"/>
        <v>0</v>
      </c>
      <c r="R114" s="48">
        <f t="shared" si="76"/>
        <v>0</v>
      </c>
      <c r="S114" s="48">
        <f t="shared" ref="S114" si="77">S115</f>
        <v>0</v>
      </c>
      <c r="T114" s="30"/>
      <c r="U114" s="16"/>
    </row>
    <row r="115" spans="1:21" s="25" customFormat="1" ht="12.75" x14ac:dyDescent="0.25">
      <c r="A115" s="67"/>
      <c r="B115" s="68" t="s">
        <v>268</v>
      </c>
      <c r="C115" s="30"/>
      <c r="D115" s="24"/>
      <c r="E115" s="30"/>
      <c r="F115" s="69">
        <f t="shared" ref="F115:R115" si="78">SUM(F116:F117)</f>
        <v>0</v>
      </c>
      <c r="G115" s="70">
        <f t="shared" si="78"/>
        <v>0</v>
      </c>
      <c r="H115" s="70">
        <f t="shared" si="78"/>
        <v>0</v>
      </c>
      <c r="I115" s="70">
        <f t="shared" si="78"/>
        <v>0</v>
      </c>
      <c r="J115" s="70">
        <f t="shared" si="78"/>
        <v>0</v>
      </c>
      <c r="K115" s="70">
        <f t="shared" si="78"/>
        <v>60.191000000000003</v>
      </c>
      <c r="L115" s="70">
        <f t="shared" si="78"/>
        <v>60.191000000000003</v>
      </c>
      <c r="M115" s="70">
        <f t="shared" si="78"/>
        <v>0</v>
      </c>
      <c r="N115" s="70">
        <f t="shared" si="78"/>
        <v>60.191000000000003</v>
      </c>
      <c r="O115" s="70">
        <f t="shared" si="78"/>
        <v>60.191000000000003</v>
      </c>
      <c r="P115" s="70">
        <f t="shared" si="78"/>
        <v>0</v>
      </c>
      <c r="Q115" s="70">
        <f t="shared" si="78"/>
        <v>0</v>
      </c>
      <c r="R115" s="70">
        <f t="shared" si="78"/>
        <v>0</v>
      </c>
      <c r="S115" s="70">
        <f t="shared" ref="S115" si="79">SUM(S116:S117)</f>
        <v>0</v>
      </c>
      <c r="T115" s="30"/>
      <c r="U115" s="16"/>
    </row>
    <row r="116" spans="1:21" s="25" customFormat="1" ht="25.5" x14ac:dyDescent="0.25">
      <c r="A116" s="30">
        <v>1</v>
      </c>
      <c r="B116" s="71" t="s">
        <v>317</v>
      </c>
      <c r="C116" s="30"/>
      <c r="D116" s="24"/>
      <c r="E116" s="30"/>
      <c r="F116" s="24"/>
      <c r="G116" s="50"/>
      <c r="H116" s="50"/>
      <c r="I116" s="50"/>
      <c r="J116" s="50"/>
      <c r="K116" s="50">
        <f t="shared" ref="K116:K117" si="80">+L116+M116</f>
        <v>49.271000000000001</v>
      </c>
      <c r="L116" s="50">
        <v>49.271000000000001</v>
      </c>
      <c r="M116" s="50"/>
      <c r="N116" s="50">
        <f t="shared" ref="N116:N117" si="81">+O116+P116+Q116+R116+S116</f>
        <v>49.271000000000001</v>
      </c>
      <c r="O116" s="50">
        <f t="shared" ref="O116:O117" si="82">+K116</f>
        <v>49.271000000000001</v>
      </c>
      <c r="P116" s="50"/>
      <c r="Q116" s="50"/>
      <c r="R116" s="50"/>
      <c r="S116" s="50"/>
      <c r="T116" s="30"/>
      <c r="U116" s="16" t="s">
        <v>233</v>
      </c>
    </row>
    <row r="117" spans="1:21" s="25" customFormat="1" ht="25.5" x14ac:dyDescent="0.25">
      <c r="A117" s="30">
        <v>2</v>
      </c>
      <c r="B117" s="34" t="s">
        <v>318</v>
      </c>
      <c r="C117" s="30"/>
      <c r="D117" s="24"/>
      <c r="E117" s="30"/>
      <c r="F117" s="24"/>
      <c r="G117" s="50"/>
      <c r="H117" s="50"/>
      <c r="I117" s="50"/>
      <c r="J117" s="50"/>
      <c r="K117" s="50">
        <f t="shared" si="80"/>
        <v>10.92</v>
      </c>
      <c r="L117" s="50">
        <v>10.92</v>
      </c>
      <c r="M117" s="50"/>
      <c r="N117" s="50">
        <f t="shared" si="81"/>
        <v>10.92</v>
      </c>
      <c r="O117" s="50">
        <f t="shared" si="82"/>
        <v>10.92</v>
      </c>
      <c r="P117" s="50"/>
      <c r="Q117" s="50"/>
      <c r="R117" s="50"/>
      <c r="S117" s="50"/>
      <c r="T117" s="30"/>
      <c r="U117" s="16" t="s">
        <v>233</v>
      </c>
    </row>
    <row r="118" spans="1:21" s="25" customFormat="1" ht="38.25" x14ac:dyDescent="0.25">
      <c r="A118" s="14"/>
      <c r="B118" s="23" t="str">
        <f>[1]Sheet1!$B$20</f>
        <v>Dự án 6: Bảo tồn, phát huy giá trị văn hóa truyền thống tốt đẹp của các dân tộc thiểu số gắn với phát triển du lịch</v>
      </c>
      <c r="C118" s="30"/>
      <c r="D118" s="24"/>
      <c r="E118" s="30"/>
      <c r="F118" s="47">
        <f t="shared" ref="F118:K118" si="83">SUM(F119:F120)</f>
        <v>0</v>
      </c>
      <c r="G118" s="48">
        <f t="shared" si="83"/>
        <v>0</v>
      </c>
      <c r="H118" s="48">
        <f t="shared" si="83"/>
        <v>0</v>
      </c>
      <c r="I118" s="48">
        <f t="shared" si="83"/>
        <v>0</v>
      </c>
      <c r="J118" s="48">
        <f t="shared" si="83"/>
        <v>0</v>
      </c>
      <c r="K118" s="48">
        <f t="shared" si="83"/>
        <v>21.28</v>
      </c>
      <c r="L118" s="48">
        <f t="shared" ref="L118:S118" si="84">SUM(L119:L120)</f>
        <v>21.28</v>
      </c>
      <c r="M118" s="48">
        <f t="shared" si="84"/>
        <v>0</v>
      </c>
      <c r="N118" s="48">
        <f t="shared" si="84"/>
        <v>21.28</v>
      </c>
      <c r="O118" s="48">
        <f t="shared" si="84"/>
        <v>21.28</v>
      </c>
      <c r="P118" s="48">
        <f t="shared" si="84"/>
        <v>0</v>
      </c>
      <c r="Q118" s="48">
        <f t="shared" si="84"/>
        <v>0</v>
      </c>
      <c r="R118" s="48">
        <f t="shared" si="84"/>
        <v>0</v>
      </c>
      <c r="S118" s="48">
        <f t="shared" si="84"/>
        <v>0</v>
      </c>
      <c r="T118" s="30"/>
      <c r="U118" s="16"/>
    </row>
    <row r="119" spans="1:21" s="25" customFormat="1" ht="25.5" x14ac:dyDescent="0.25">
      <c r="A119" s="30">
        <v>1</v>
      </c>
      <c r="B119" s="72" t="s">
        <v>319</v>
      </c>
      <c r="C119" s="30"/>
      <c r="D119" s="24"/>
      <c r="E119" s="30"/>
      <c r="F119" s="24"/>
      <c r="G119" s="50"/>
      <c r="H119" s="50"/>
      <c r="I119" s="50"/>
      <c r="J119" s="50"/>
      <c r="K119" s="50">
        <f t="shared" ref="K119:K120" si="85">+L119+M119</f>
        <v>7.5090000000000003</v>
      </c>
      <c r="L119" s="50">
        <v>7.5090000000000003</v>
      </c>
      <c r="M119" s="50"/>
      <c r="N119" s="50">
        <f t="shared" ref="N119:N120" si="86">+O119+P119+Q119+R119+S119</f>
        <v>7.5090000000000003</v>
      </c>
      <c r="O119" s="50">
        <f t="shared" ref="O119:O120" si="87">+K119</f>
        <v>7.5090000000000003</v>
      </c>
      <c r="P119" s="50"/>
      <c r="Q119" s="50"/>
      <c r="R119" s="50"/>
      <c r="S119" s="50"/>
      <c r="T119" s="30"/>
      <c r="U119" s="16" t="s">
        <v>233</v>
      </c>
    </row>
    <row r="120" spans="1:21" s="25" customFormat="1" ht="25.5" x14ac:dyDescent="0.25">
      <c r="A120" s="30">
        <v>2</v>
      </c>
      <c r="B120" s="72" t="s">
        <v>320</v>
      </c>
      <c r="C120" s="30"/>
      <c r="D120" s="24"/>
      <c r="E120" s="30"/>
      <c r="F120" s="24"/>
      <c r="G120" s="50"/>
      <c r="H120" s="50"/>
      <c r="I120" s="50"/>
      <c r="J120" s="50"/>
      <c r="K120" s="50">
        <f t="shared" si="85"/>
        <v>13.771000000000001</v>
      </c>
      <c r="L120" s="50">
        <v>13.771000000000001</v>
      </c>
      <c r="M120" s="50"/>
      <c r="N120" s="50">
        <f t="shared" si="86"/>
        <v>13.771000000000001</v>
      </c>
      <c r="O120" s="50">
        <f t="shared" si="87"/>
        <v>13.771000000000001</v>
      </c>
      <c r="P120" s="50"/>
      <c r="Q120" s="50"/>
      <c r="R120" s="50"/>
      <c r="S120" s="50"/>
      <c r="T120" s="30"/>
      <c r="U120" s="16" t="s">
        <v>233</v>
      </c>
    </row>
    <row r="121" spans="1:21" s="28" customFormat="1" ht="38.25" x14ac:dyDescent="0.25">
      <c r="A121" s="19" t="s">
        <v>29</v>
      </c>
      <c r="B121" s="23" t="s">
        <v>303</v>
      </c>
      <c r="C121" s="27"/>
      <c r="D121" s="27"/>
      <c r="E121" s="19"/>
      <c r="F121" s="27"/>
      <c r="G121" s="38">
        <f t="shared" ref="G121:J121" si="88">G122+G126+G137</f>
        <v>14049.201000000001</v>
      </c>
      <c r="H121" s="38">
        <f t="shared" si="88"/>
        <v>0</v>
      </c>
      <c r="I121" s="38">
        <f t="shared" si="88"/>
        <v>0</v>
      </c>
      <c r="J121" s="38">
        <f t="shared" si="88"/>
        <v>0</v>
      </c>
      <c r="K121" s="38">
        <f>K122+K126+K137</f>
        <v>2220.6420000000003</v>
      </c>
      <c r="L121" s="38">
        <f t="shared" ref="L121:S121" si="89">L122+L126+L137</f>
        <v>2220.6420000000003</v>
      </c>
      <c r="M121" s="38">
        <f t="shared" si="89"/>
        <v>0</v>
      </c>
      <c r="N121" s="38">
        <f t="shared" si="89"/>
        <v>2220.6420000000003</v>
      </c>
      <c r="O121" s="38">
        <f t="shared" si="89"/>
        <v>2220.6420000000003</v>
      </c>
      <c r="P121" s="38">
        <f t="shared" si="89"/>
        <v>0</v>
      </c>
      <c r="Q121" s="38">
        <f t="shared" si="89"/>
        <v>0</v>
      </c>
      <c r="R121" s="38">
        <f t="shared" si="89"/>
        <v>0</v>
      </c>
      <c r="S121" s="38">
        <f t="shared" si="89"/>
        <v>0</v>
      </c>
      <c r="T121" s="27"/>
      <c r="U121" s="19"/>
    </row>
    <row r="122" spans="1:21" s="28" customFormat="1" ht="25.5" x14ac:dyDescent="0.25">
      <c r="A122" s="19" t="s">
        <v>146</v>
      </c>
      <c r="B122" s="23" t="s">
        <v>179</v>
      </c>
      <c r="C122" s="27"/>
      <c r="D122" s="27"/>
      <c r="E122" s="19"/>
      <c r="F122" s="27"/>
      <c r="G122" s="38">
        <f t="shared" ref="G122:J122" si="90">+G123+G124+G125</f>
        <v>1896</v>
      </c>
      <c r="H122" s="38">
        <f t="shared" si="90"/>
        <v>0</v>
      </c>
      <c r="I122" s="38">
        <f t="shared" si="90"/>
        <v>0</v>
      </c>
      <c r="J122" s="38">
        <f t="shared" si="90"/>
        <v>0</v>
      </c>
      <c r="K122" s="38">
        <f>+K123+K124+K125</f>
        <v>658.93000000000006</v>
      </c>
      <c r="L122" s="38">
        <f t="shared" ref="L122:S122" si="91">+L123+L124+L125</f>
        <v>658.93000000000006</v>
      </c>
      <c r="M122" s="38">
        <f t="shared" si="91"/>
        <v>0</v>
      </c>
      <c r="N122" s="38">
        <f t="shared" si="91"/>
        <v>658.93000000000006</v>
      </c>
      <c r="O122" s="38">
        <f t="shared" si="91"/>
        <v>658.93000000000006</v>
      </c>
      <c r="P122" s="38">
        <f t="shared" si="91"/>
        <v>0</v>
      </c>
      <c r="Q122" s="38">
        <f t="shared" si="91"/>
        <v>0</v>
      </c>
      <c r="R122" s="38">
        <f t="shared" si="91"/>
        <v>0</v>
      </c>
      <c r="S122" s="38">
        <f t="shared" si="91"/>
        <v>0</v>
      </c>
      <c r="T122" s="27"/>
      <c r="U122" s="19"/>
    </row>
    <row r="123" spans="1:21" s="25" customFormat="1" ht="38.25" x14ac:dyDescent="0.25">
      <c r="A123" s="16">
        <v>1</v>
      </c>
      <c r="B123" s="34" t="s">
        <v>259</v>
      </c>
      <c r="C123" s="30" t="s">
        <v>193</v>
      </c>
      <c r="D123" s="30" t="s">
        <v>300</v>
      </c>
      <c r="E123" s="30">
        <v>2023</v>
      </c>
      <c r="F123" s="24"/>
      <c r="G123" s="50">
        <v>632</v>
      </c>
      <c r="H123" s="50"/>
      <c r="I123" s="50"/>
      <c r="J123" s="50"/>
      <c r="K123" s="50">
        <f>+L123+M123</f>
        <v>234.066</v>
      </c>
      <c r="L123" s="50">
        <v>234.066</v>
      </c>
      <c r="M123" s="50"/>
      <c r="N123" s="50">
        <f t="shared" ref="N123" si="92">+O123+P123+Q123+R123+S123</f>
        <v>234.066</v>
      </c>
      <c r="O123" s="50">
        <f>+K123</f>
        <v>234.066</v>
      </c>
      <c r="P123" s="50"/>
      <c r="Q123" s="50"/>
      <c r="R123" s="50"/>
      <c r="S123" s="50"/>
      <c r="T123" s="30" t="s">
        <v>295</v>
      </c>
      <c r="U123" s="16" t="s">
        <v>233</v>
      </c>
    </row>
    <row r="124" spans="1:21" s="25" customFormat="1" ht="25.5" x14ac:dyDescent="0.25">
      <c r="A124" s="16">
        <v>2</v>
      </c>
      <c r="B124" s="34" t="s">
        <v>260</v>
      </c>
      <c r="C124" s="30" t="s">
        <v>86</v>
      </c>
      <c r="D124" s="30" t="s">
        <v>300</v>
      </c>
      <c r="E124" s="30">
        <v>2023</v>
      </c>
      <c r="F124" s="24"/>
      <c r="G124" s="50">
        <v>632</v>
      </c>
      <c r="H124" s="50"/>
      <c r="I124" s="50"/>
      <c r="J124" s="50"/>
      <c r="K124" s="50">
        <f>+L124+M124</f>
        <v>210.292</v>
      </c>
      <c r="L124" s="50">
        <v>210.292</v>
      </c>
      <c r="M124" s="50"/>
      <c r="N124" s="50">
        <f t="shared" ref="N124" si="93">+O124+P124+Q124+R124+S124</f>
        <v>210.292</v>
      </c>
      <c r="O124" s="50">
        <f>+K124</f>
        <v>210.292</v>
      </c>
      <c r="P124" s="50"/>
      <c r="Q124" s="50"/>
      <c r="R124" s="50"/>
      <c r="S124" s="50"/>
      <c r="T124" s="30" t="s">
        <v>224</v>
      </c>
      <c r="U124" s="16" t="s">
        <v>233</v>
      </c>
    </row>
    <row r="125" spans="1:21" s="25" customFormat="1" ht="38.25" x14ac:dyDescent="0.25">
      <c r="A125" s="16">
        <v>3</v>
      </c>
      <c r="B125" s="34" t="s">
        <v>261</v>
      </c>
      <c r="C125" s="30" t="s">
        <v>102</v>
      </c>
      <c r="D125" s="30"/>
      <c r="E125" s="30"/>
      <c r="F125" s="24"/>
      <c r="G125" s="50">
        <v>632</v>
      </c>
      <c r="H125" s="50"/>
      <c r="I125" s="50"/>
      <c r="J125" s="50"/>
      <c r="K125" s="50">
        <f>+L125+M125</f>
        <v>214.572</v>
      </c>
      <c r="L125" s="50">
        <v>214.572</v>
      </c>
      <c r="M125" s="50"/>
      <c r="N125" s="50">
        <f>+O125+P125+Q125+R125+S125</f>
        <v>214.572</v>
      </c>
      <c r="O125" s="50">
        <f>+K125</f>
        <v>214.572</v>
      </c>
      <c r="P125" s="50"/>
      <c r="Q125" s="50"/>
      <c r="R125" s="50"/>
      <c r="S125" s="50"/>
      <c r="T125" s="30" t="s">
        <v>296</v>
      </c>
      <c r="U125" s="16" t="s">
        <v>233</v>
      </c>
    </row>
    <row r="126" spans="1:21" s="52" customFormat="1" ht="63.75" x14ac:dyDescent="0.2">
      <c r="A126" s="16" t="s">
        <v>146</v>
      </c>
      <c r="B126" s="23" t="str">
        <f>[2]Sheet1!$B$13</f>
        <v>Dự án 4: Đầu tư cơ sở hạ tầng thiết yếu, phục vụ sản xuất, đời sống trong vùng đồng bào dân tộc thiểu số và miền núi và các đơn vị sự nghiệp công của lĩnh vực dân tộc</v>
      </c>
      <c r="C126" s="30"/>
      <c r="D126" s="30"/>
      <c r="E126" s="30"/>
      <c r="F126" s="27"/>
      <c r="G126" s="38">
        <f>+G127+G133</f>
        <v>11846.201000000001</v>
      </c>
      <c r="H126" s="38">
        <f t="shared" ref="H126:S126" si="94">+H127+H133</f>
        <v>0</v>
      </c>
      <c r="I126" s="38">
        <f t="shared" si="94"/>
        <v>0</v>
      </c>
      <c r="J126" s="38">
        <f t="shared" si="94"/>
        <v>0</v>
      </c>
      <c r="K126" s="38">
        <f>+K127+K133</f>
        <v>1395.3120000000001</v>
      </c>
      <c r="L126" s="38">
        <f t="shared" si="94"/>
        <v>1395.3120000000001</v>
      </c>
      <c r="M126" s="38">
        <f t="shared" si="94"/>
        <v>0</v>
      </c>
      <c r="N126" s="38">
        <f t="shared" si="94"/>
        <v>1395.3120000000001</v>
      </c>
      <c r="O126" s="38">
        <f t="shared" si="94"/>
        <v>1395.3120000000001</v>
      </c>
      <c r="P126" s="38">
        <f t="shared" si="94"/>
        <v>0</v>
      </c>
      <c r="Q126" s="38">
        <f t="shared" si="94"/>
        <v>0</v>
      </c>
      <c r="R126" s="38">
        <f t="shared" si="94"/>
        <v>0</v>
      </c>
      <c r="S126" s="38">
        <f t="shared" si="94"/>
        <v>0</v>
      </c>
      <c r="T126" s="27"/>
      <c r="U126" s="19"/>
    </row>
    <row r="127" spans="1:21" s="52" customFormat="1" ht="12.75" x14ac:dyDescent="0.2">
      <c r="A127" s="19" t="s">
        <v>29</v>
      </c>
      <c r="B127" s="23" t="s">
        <v>262</v>
      </c>
      <c r="C127" s="14"/>
      <c r="E127" s="14"/>
      <c r="F127" s="27"/>
      <c r="G127" s="38">
        <f>+SUM(G128:G132)</f>
        <v>9520</v>
      </c>
      <c r="H127" s="38">
        <f t="shared" ref="H127:S127" si="95">+SUM(H128:H132)</f>
        <v>0</v>
      </c>
      <c r="I127" s="38">
        <f t="shared" si="95"/>
        <v>0</v>
      </c>
      <c r="J127" s="38">
        <f t="shared" si="95"/>
        <v>0</v>
      </c>
      <c r="K127" s="38">
        <f t="shared" si="95"/>
        <v>1220.93</v>
      </c>
      <c r="L127" s="38">
        <f t="shared" si="95"/>
        <v>1220.93</v>
      </c>
      <c r="M127" s="38">
        <f t="shared" si="95"/>
        <v>0</v>
      </c>
      <c r="N127" s="38">
        <f t="shared" si="95"/>
        <v>1220.93</v>
      </c>
      <c r="O127" s="38">
        <f t="shared" si="95"/>
        <v>1220.93</v>
      </c>
      <c r="P127" s="38">
        <f t="shared" si="95"/>
        <v>0</v>
      </c>
      <c r="Q127" s="38">
        <f t="shared" si="95"/>
        <v>0</v>
      </c>
      <c r="R127" s="38">
        <f t="shared" si="95"/>
        <v>0</v>
      </c>
      <c r="S127" s="38">
        <f t="shared" si="95"/>
        <v>0</v>
      </c>
      <c r="T127" s="30"/>
      <c r="U127" s="16"/>
    </row>
    <row r="128" spans="1:21" s="56" customFormat="1" ht="38.25" x14ac:dyDescent="0.2">
      <c r="A128" s="16">
        <v>4</v>
      </c>
      <c r="B128" s="34" t="s">
        <v>263</v>
      </c>
      <c r="C128" s="30" t="s">
        <v>213</v>
      </c>
      <c r="D128" s="30" t="s">
        <v>301</v>
      </c>
      <c r="E128" s="30">
        <v>2023</v>
      </c>
      <c r="F128" s="27"/>
      <c r="G128" s="50">
        <v>1744</v>
      </c>
      <c r="H128" s="50"/>
      <c r="I128" s="50"/>
      <c r="J128" s="50"/>
      <c r="K128" s="50">
        <f>+L128+M128</f>
        <v>288.93</v>
      </c>
      <c r="L128" s="50">
        <v>288.93</v>
      </c>
      <c r="M128" s="50"/>
      <c r="N128" s="50">
        <f t="shared" ref="N128:N136" si="96">+O128+P128+Q128+R128+S128</f>
        <v>288.93</v>
      </c>
      <c r="O128" s="50">
        <f>+K128</f>
        <v>288.93</v>
      </c>
      <c r="P128" s="50"/>
      <c r="Q128" s="50"/>
      <c r="R128" s="50"/>
      <c r="S128" s="50"/>
      <c r="T128" s="30" t="s">
        <v>221</v>
      </c>
      <c r="U128" s="16" t="s">
        <v>233</v>
      </c>
    </row>
    <row r="129" spans="1:21" s="56" customFormat="1" ht="38.25" x14ac:dyDescent="0.2">
      <c r="A129" s="16">
        <v>5</v>
      </c>
      <c r="B129" s="34" t="s">
        <v>264</v>
      </c>
      <c r="C129" s="30" t="s">
        <v>163</v>
      </c>
      <c r="D129" s="30" t="s">
        <v>301</v>
      </c>
      <c r="E129" s="30">
        <v>2023</v>
      </c>
      <c r="F129" s="27"/>
      <c r="G129" s="50">
        <v>1940</v>
      </c>
      <c r="H129" s="50"/>
      <c r="I129" s="50"/>
      <c r="J129" s="50"/>
      <c r="K129" s="50">
        <f>+L129+M129</f>
        <v>311</v>
      </c>
      <c r="L129" s="50">
        <v>311</v>
      </c>
      <c r="M129" s="50"/>
      <c r="N129" s="50">
        <f t="shared" si="96"/>
        <v>311</v>
      </c>
      <c r="O129" s="50">
        <f>+K129</f>
        <v>311</v>
      </c>
      <c r="P129" s="50"/>
      <c r="Q129" s="50"/>
      <c r="R129" s="50"/>
      <c r="S129" s="50"/>
      <c r="T129" s="30" t="s">
        <v>220</v>
      </c>
      <c r="U129" s="16" t="s">
        <v>233</v>
      </c>
    </row>
    <row r="130" spans="1:21" s="56" customFormat="1" ht="38.25" x14ac:dyDescent="0.2">
      <c r="A130" s="16">
        <v>6</v>
      </c>
      <c r="B130" s="34" t="s">
        <v>265</v>
      </c>
      <c r="C130" s="30" t="s">
        <v>163</v>
      </c>
      <c r="D130" s="30" t="s">
        <v>300</v>
      </c>
      <c r="E130" s="30">
        <v>2023</v>
      </c>
      <c r="F130" s="27"/>
      <c r="G130" s="50">
        <v>1948</v>
      </c>
      <c r="H130" s="50"/>
      <c r="I130" s="50"/>
      <c r="J130" s="50"/>
      <c r="K130" s="50">
        <f>+L130+M130</f>
        <v>279</v>
      </c>
      <c r="L130" s="50">
        <v>279</v>
      </c>
      <c r="M130" s="50"/>
      <c r="N130" s="50">
        <f t="shared" si="96"/>
        <v>279</v>
      </c>
      <c r="O130" s="50">
        <f>+K130</f>
        <v>279</v>
      </c>
      <c r="P130" s="50"/>
      <c r="Q130" s="50"/>
      <c r="R130" s="50"/>
      <c r="S130" s="50"/>
      <c r="T130" s="30" t="s">
        <v>304</v>
      </c>
      <c r="U130" s="16" t="s">
        <v>233</v>
      </c>
    </row>
    <row r="131" spans="1:21" s="56" customFormat="1" ht="38.25" x14ac:dyDescent="0.2">
      <c r="A131" s="16">
        <v>7</v>
      </c>
      <c r="B131" s="34" t="s">
        <v>266</v>
      </c>
      <c r="C131" s="30" t="s">
        <v>108</v>
      </c>
      <c r="D131" s="30" t="s">
        <v>301</v>
      </c>
      <c r="E131" s="30">
        <v>2023</v>
      </c>
      <c r="F131" s="27"/>
      <c r="G131" s="50">
        <v>1000</v>
      </c>
      <c r="H131" s="50"/>
      <c r="I131" s="50"/>
      <c r="J131" s="50"/>
      <c r="K131" s="50">
        <f>+L131+M131</f>
        <v>9</v>
      </c>
      <c r="L131" s="50">
        <v>9</v>
      </c>
      <c r="M131" s="50"/>
      <c r="N131" s="50">
        <f t="shared" si="96"/>
        <v>9</v>
      </c>
      <c r="O131" s="50">
        <f>+K131</f>
        <v>9</v>
      </c>
      <c r="P131" s="50"/>
      <c r="Q131" s="50"/>
      <c r="R131" s="50"/>
      <c r="S131" s="50"/>
      <c r="T131" s="30" t="s">
        <v>305</v>
      </c>
      <c r="U131" s="16" t="s">
        <v>233</v>
      </c>
    </row>
    <row r="132" spans="1:21" s="56" customFormat="1" ht="38.25" x14ac:dyDescent="0.2">
      <c r="A132" s="16">
        <v>8</v>
      </c>
      <c r="B132" s="34" t="s">
        <v>267</v>
      </c>
      <c r="C132" s="30" t="s">
        <v>108</v>
      </c>
      <c r="D132" s="30" t="s">
        <v>301</v>
      </c>
      <c r="E132" s="30">
        <v>2023</v>
      </c>
      <c r="F132" s="27"/>
      <c r="G132" s="50">
        <v>2888</v>
      </c>
      <c r="H132" s="50"/>
      <c r="I132" s="50"/>
      <c r="J132" s="50"/>
      <c r="K132" s="50">
        <f>+L132+M132</f>
        <v>333</v>
      </c>
      <c r="L132" s="50">
        <v>333</v>
      </c>
      <c r="M132" s="50"/>
      <c r="N132" s="50">
        <f t="shared" si="96"/>
        <v>333</v>
      </c>
      <c r="O132" s="50">
        <f>+K132</f>
        <v>333</v>
      </c>
      <c r="P132" s="50"/>
      <c r="Q132" s="50"/>
      <c r="R132" s="50"/>
      <c r="S132" s="50"/>
      <c r="T132" s="30" t="s">
        <v>304</v>
      </c>
      <c r="U132" s="16" t="s">
        <v>233</v>
      </c>
    </row>
    <row r="133" spans="1:21" s="52" customFormat="1" ht="12.75" x14ac:dyDescent="0.2">
      <c r="A133" s="19" t="s">
        <v>29</v>
      </c>
      <c r="B133" s="23" t="s">
        <v>268</v>
      </c>
      <c r="C133" s="14"/>
      <c r="D133" s="14"/>
      <c r="E133" s="14"/>
      <c r="F133" s="27"/>
      <c r="G133" s="38">
        <f>+SUM(G134:G136)</f>
        <v>2326.201</v>
      </c>
      <c r="H133" s="38">
        <f t="shared" ref="H133:S133" si="97">+SUM(H134:H136)</f>
        <v>0</v>
      </c>
      <c r="I133" s="38">
        <f t="shared" si="97"/>
        <v>0</v>
      </c>
      <c r="J133" s="38">
        <f t="shared" si="97"/>
        <v>0</v>
      </c>
      <c r="K133" s="38">
        <f t="shared" si="97"/>
        <v>174.38200000000001</v>
      </c>
      <c r="L133" s="38">
        <f t="shared" si="97"/>
        <v>174.38200000000001</v>
      </c>
      <c r="M133" s="38">
        <f t="shared" si="97"/>
        <v>0</v>
      </c>
      <c r="N133" s="38">
        <f t="shared" si="97"/>
        <v>174.38200000000001</v>
      </c>
      <c r="O133" s="38">
        <f t="shared" si="97"/>
        <v>174.38200000000001</v>
      </c>
      <c r="P133" s="38">
        <f t="shared" si="97"/>
        <v>0</v>
      </c>
      <c r="Q133" s="38">
        <f t="shared" si="97"/>
        <v>0</v>
      </c>
      <c r="R133" s="38">
        <f t="shared" si="97"/>
        <v>0</v>
      </c>
      <c r="S133" s="38">
        <f t="shared" si="97"/>
        <v>0</v>
      </c>
      <c r="T133" s="30"/>
      <c r="U133" s="16"/>
    </row>
    <row r="134" spans="1:21" s="56" customFormat="1" ht="51" x14ac:dyDescent="0.2">
      <c r="A134" s="16">
        <v>9</v>
      </c>
      <c r="B134" s="34" t="s">
        <v>269</v>
      </c>
      <c r="C134" s="30" t="s">
        <v>130</v>
      </c>
      <c r="D134" s="30"/>
      <c r="E134" s="30">
        <v>2023</v>
      </c>
      <c r="F134" s="27"/>
      <c r="G134" s="50">
        <v>1160.201</v>
      </c>
      <c r="H134" s="50"/>
      <c r="I134" s="50"/>
      <c r="J134" s="50"/>
      <c r="K134" s="50">
        <f>+L134+M134</f>
        <v>94.293000000000006</v>
      </c>
      <c r="L134" s="50">
        <v>94.293000000000006</v>
      </c>
      <c r="M134" s="50"/>
      <c r="N134" s="50">
        <f t="shared" si="96"/>
        <v>94.293000000000006</v>
      </c>
      <c r="O134" s="50">
        <f t="shared" ref="O134:O139" si="98">+K134</f>
        <v>94.293000000000006</v>
      </c>
      <c r="P134" s="50"/>
      <c r="Q134" s="50"/>
      <c r="R134" s="50"/>
      <c r="S134" s="50"/>
      <c r="T134" s="30" t="s">
        <v>222</v>
      </c>
      <c r="U134" s="16" t="s">
        <v>233</v>
      </c>
    </row>
    <row r="135" spans="1:21" s="56" customFormat="1" ht="38.25" x14ac:dyDescent="0.2">
      <c r="A135" s="16">
        <v>10</v>
      </c>
      <c r="B135" s="34" t="s">
        <v>202</v>
      </c>
      <c r="C135" s="30" t="s">
        <v>52</v>
      </c>
      <c r="D135" s="30"/>
      <c r="E135" s="30">
        <v>2023</v>
      </c>
      <c r="F135" s="27"/>
      <c r="G135" s="50">
        <v>583</v>
      </c>
      <c r="H135" s="50"/>
      <c r="I135" s="50"/>
      <c r="J135" s="50"/>
      <c r="K135" s="50">
        <f>+L135+M135</f>
        <v>69.424999999999997</v>
      </c>
      <c r="L135" s="50">
        <v>69.424999999999997</v>
      </c>
      <c r="M135" s="50"/>
      <c r="N135" s="50">
        <f t="shared" si="96"/>
        <v>69.424999999999997</v>
      </c>
      <c r="O135" s="50">
        <f t="shared" si="98"/>
        <v>69.424999999999997</v>
      </c>
      <c r="P135" s="50"/>
      <c r="Q135" s="50"/>
      <c r="R135" s="50"/>
      <c r="S135" s="50"/>
      <c r="T135" s="30" t="s">
        <v>223</v>
      </c>
      <c r="U135" s="16" t="s">
        <v>233</v>
      </c>
    </row>
    <row r="136" spans="1:21" s="56" customFormat="1" ht="38.25" x14ac:dyDescent="0.2">
      <c r="A136" s="16">
        <v>11</v>
      </c>
      <c r="B136" s="34" t="s">
        <v>270</v>
      </c>
      <c r="C136" s="30" t="s">
        <v>90</v>
      </c>
      <c r="D136" s="30"/>
      <c r="E136" s="30">
        <v>2023</v>
      </c>
      <c r="F136" s="27"/>
      <c r="G136" s="50">
        <v>583</v>
      </c>
      <c r="H136" s="50"/>
      <c r="I136" s="50"/>
      <c r="J136" s="50"/>
      <c r="K136" s="50">
        <f>+L136+M136</f>
        <v>10.664</v>
      </c>
      <c r="L136" s="50">
        <v>10.664</v>
      </c>
      <c r="M136" s="50"/>
      <c r="N136" s="50">
        <f t="shared" si="96"/>
        <v>10.664</v>
      </c>
      <c r="O136" s="50">
        <f t="shared" si="98"/>
        <v>10.664</v>
      </c>
      <c r="P136" s="50"/>
      <c r="Q136" s="50"/>
      <c r="R136" s="50"/>
      <c r="S136" s="50"/>
      <c r="T136" s="30" t="s">
        <v>225</v>
      </c>
      <c r="U136" s="16" t="s">
        <v>233</v>
      </c>
    </row>
    <row r="137" spans="1:21" s="52" customFormat="1" ht="38.25" x14ac:dyDescent="0.2">
      <c r="A137" s="19" t="s">
        <v>146</v>
      </c>
      <c r="B137" s="23" t="str">
        <f>[2]Sheet1!$B$20</f>
        <v>Dự án 6: Bảo tồn, phát huy giá trị văn hóa truyền thống tốt đẹp của các dân tộc thiểu số gắn với phát triển du lịch</v>
      </c>
      <c r="C137" s="14"/>
      <c r="D137" s="14"/>
      <c r="E137" s="14"/>
      <c r="F137" s="27"/>
      <c r="G137" s="38">
        <f>SUM(G138:G139)</f>
        <v>307</v>
      </c>
      <c r="H137" s="38">
        <f t="shared" ref="H137:S137" si="99">SUM(H138:H139)</f>
        <v>0</v>
      </c>
      <c r="I137" s="38">
        <f t="shared" si="99"/>
        <v>0</v>
      </c>
      <c r="J137" s="38">
        <f t="shared" si="99"/>
        <v>0</v>
      </c>
      <c r="K137" s="38">
        <f t="shared" si="99"/>
        <v>166.4</v>
      </c>
      <c r="L137" s="38">
        <f t="shared" si="99"/>
        <v>166.4</v>
      </c>
      <c r="M137" s="38">
        <f t="shared" si="99"/>
        <v>0</v>
      </c>
      <c r="N137" s="38">
        <f t="shared" si="99"/>
        <v>166.4</v>
      </c>
      <c r="O137" s="38">
        <f t="shared" si="99"/>
        <v>166.4</v>
      </c>
      <c r="P137" s="38">
        <f t="shared" si="99"/>
        <v>0</v>
      </c>
      <c r="Q137" s="38">
        <f t="shared" si="99"/>
        <v>0</v>
      </c>
      <c r="R137" s="38">
        <f t="shared" si="99"/>
        <v>0</v>
      </c>
      <c r="S137" s="38">
        <f t="shared" si="99"/>
        <v>0</v>
      </c>
      <c r="T137" s="14"/>
      <c r="U137" s="19"/>
    </row>
    <row r="138" spans="1:21" s="56" customFormat="1" ht="38.25" x14ac:dyDescent="0.2">
      <c r="A138" s="16">
        <v>12</v>
      </c>
      <c r="B138" s="34" t="s">
        <v>271</v>
      </c>
      <c r="C138" s="30" t="s">
        <v>198</v>
      </c>
      <c r="D138" s="30"/>
      <c r="E138" s="30">
        <v>2023</v>
      </c>
      <c r="F138" s="27"/>
      <c r="G138" s="50">
        <v>155</v>
      </c>
      <c r="H138" s="50"/>
      <c r="I138" s="50"/>
      <c r="J138" s="50"/>
      <c r="K138" s="50">
        <f>+L138+M138</f>
        <v>14.4</v>
      </c>
      <c r="L138" s="50">
        <v>14.4</v>
      </c>
      <c r="M138" s="50"/>
      <c r="N138" s="50">
        <f t="shared" ref="N138:N161" si="100">+O138+P138+Q138+R138+S138</f>
        <v>14.4</v>
      </c>
      <c r="O138" s="50">
        <f t="shared" si="98"/>
        <v>14.4</v>
      </c>
      <c r="P138" s="50"/>
      <c r="Q138" s="50"/>
      <c r="R138" s="50"/>
      <c r="S138" s="50"/>
      <c r="T138" s="30" t="s">
        <v>306</v>
      </c>
      <c r="U138" s="16" t="s">
        <v>233</v>
      </c>
    </row>
    <row r="139" spans="1:21" s="56" customFormat="1" ht="38.25" x14ac:dyDescent="0.2">
      <c r="A139" s="16">
        <v>13</v>
      </c>
      <c r="B139" s="34" t="s">
        <v>272</v>
      </c>
      <c r="C139" s="30" t="s">
        <v>193</v>
      </c>
      <c r="D139" s="30"/>
      <c r="E139" s="30">
        <v>2023</v>
      </c>
      <c r="F139" s="27"/>
      <c r="G139" s="50">
        <v>152</v>
      </c>
      <c r="H139" s="50"/>
      <c r="I139" s="50"/>
      <c r="J139" s="50"/>
      <c r="K139" s="50">
        <f t="shared" ref="K139:K161" si="101">+L139+M139</f>
        <v>152</v>
      </c>
      <c r="L139" s="50">
        <v>152</v>
      </c>
      <c r="M139" s="50"/>
      <c r="N139" s="50">
        <f t="shared" si="100"/>
        <v>152</v>
      </c>
      <c r="O139" s="50">
        <f t="shared" si="98"/>
        <v>152</v>
      </c>
      <c r="P139" s="50"/>
      <c r="Q139" s="50"/>
      <c r="R139" s="50"/>
      <c r="S139" s="50"/>
      <c r="T139" s="30" t="s">
        <v>295</v>
      </c>
      <c r="U139" s="16" t="s">
        <v>233</v>
      </c>
    </row>
    <row r="140" spans="1:21" s="52" customFormat="1" ht="21" customHeight="1" x14ac:dyDescent="0.2">
      <c r="A140" s="19" t="s">
        <v>323</v>
      </c>
      <c r="B140" s="23" t="s">
        <v>273</v>
      </c>
      <c r="C140" s="14"/>
      <c r="D140" s="14"/>
      <c r="E140" s="14"/>
      <c r="F140" s="27"/>
      <c r="G140" s="38">
        <f>+G141</f>
        <v>48394.052958483953</v>
      </c>
      <c r="H140" s="38">
        <f t="shared" ref="H140:S140" si="102">+H141</f>
        <v>0</v>
      </c>
      <c r="I140" s="38">
        <f t="shared" si="102"/>
        <v>21670.023000000001</v>
      </c>
      <c r="J140" s="38">
        <f t="shared" si="102"/>
        <v>15801</v>
      </c>
      <c r="K140" s="38">
        <f t="shared" si="102"/>
        <v>5601</v>
      </c>
      <c r="L140" s="38">
        <f t="shared" si="102"/>
        <v>0</v>
      </c>
      <c r="M140" s="38">
        <f t="shared" si="102"/>
        <v>5601</v>
      </c>
      <c r="N140" s="38">
        <f t="shared" si="102"/>
        <v>5601</v>
      </c>
      <c r="O140" s="38">
        <f t="shared" si="102"/>
        <v>4101</v>
      </c>
      <c r="P140" s="38">
        <f t="shared" si="102"/>
        <v>0</v>
      </c>
      <c r="Q140" s="38">
        <f t="shared" si="102"/>
        <v>0</v>
      </c>
      <c r="R140" s="38">
        <f t="shared" si="102"/>
        <v>600</v>
      </c>
      <c r="S140" s="38">
        <f t="shared" si="102"/>
        <v>900</v>
      </c>
      <c r="T140" s="14"/>
      <c r="U140" s="19"/>
    </row>
    <row r="141" spans="1:21" s="53" customFormat="1" ht="51" x14ac:dyDescent="0.2">
      <c r="A141" s="19" t="s">
        <v>146</v>
      </c>
      <c r="B141" s="23" t="s">
        <v>274</v>
      </c>
      <c r="C141" s="14"/>
      <c r="D141" s="14"/>
      <c r="E141" s="14"/>
      <c r="F141" s="27"/>
      <c r="G141" s="38">
        <f>+G142+G151+G154+G160</f>
        <v>48394.052958483953</v>
      </c>
      <c r="H141" s="38">
        <f t="shared" ref="H141:S141" si="103">+H142+H151+H154+H160</f>
        <v>0</v>
      </c>
      <c r="I141" s="38">
        <f t="shared" si="103"/>
        <v>21670.023000000001</v>
      </c>
      <c r="J141" s="38">
        <f t="shared" si="103"/>
        <v>15801</v>
      </c>
      <c r="K141" s="38">
        <f t="shared" si="103"/>
        <v>5601</v>
      </c>
      <c r="L141" s="38">
        <f t="shared" si="103"/>
        <v>0</v>
      </c>
      <c r="M141" s="38">
        <f t="shared" si="103"/>
        <v>5601</v>
      </c>
      <c r="N141" s="38">
        <f t="shared" si="103"/>
        <v>5601</v>
      </c>
      <c r="O141" s="38">
        <f t="shared" si="103"/>
        <v>4101</v>
      </c>
      <c r="P141" s="38">
        <f t="shared" si="103"/>
        <v>0</v>
      </c>
      <c r="Q141" s="38">
        <f t="shared" si="103"/>
        <v>0</v>
      </c>
      <c r="R141" s="38">
        <f t="shared" si="103"/>
        <v>600</v>
      </c>
      <c r="S141" s="38">
        <f t="shared" si="103"/>
        <v>900</v>
      </c>
      <c r="T141" s="14"/>
      <c r="U141" s="19"/>
    </row>
    <row r="142" spans="1:21" s="53" customFormat="1" ht="25.5" x14ac:dyDescent="0.2">
      <c r="A142" s="19" t="s">
        <v>147</v>
      </c>
      <c r="B142" s="23" t="s">
        <v>275</v>
      </c>
      <c r="C142" s="14"/>
      <c r="D142" s="14"/>
      <c r="E142" s="14"/>
      <c r="F142" s="27"/>
      <c r="G142" s="38">
        <f>+SUM(G143:G150)</f>
        <v>19541.753958483954</v>
      </c>
      <c r="H142" s="38">
        <f t="shared" ref="H142:S142" si="104">+SUM(H143:H150)</f>
        <v>0</v>
      </c>
      <c r="I142" s="38">
        <f t="shared" si="104"/>
        <v>0</v>
      </c>
      <c r="J142" s="38">
        <f t="shared" si="104"/>
        <v>0</v>
      </c>
      <c r="K142" s="38">
        <f t="shared" si="104"/>
        <v>680</v>
      </c>
      <c r="L142" s="38"/>
      <c r="M142" s="38">
        <f t="shared" si="104"/>
        <v>680</v>
      </c>
      <c r="N142" s="38">
        <f t="shared" si="104"/>
        <v>680</v>
      </c>
      <c r="O142" s="50">
        <f t="shared" ref="O142:O150" si="105">+K142</f>
        <v>680</v>
      </c>
      <c r="P142" s="38">
        <f t="shared" si="104"/>
        <v>0</v>
      </c>
      <c r="Q142" s="38">
        <f t="shared" si="104"/>
        <v>0</v>
      </c>
      <c r="R142" s="38">
        <f t="shared" si="104"/>
        <v>0</v>
      </c>
      <c r="S142" s="38">
        <f t="shared" si="104"/>
        <v>0</v>
      </c>
      <c r="T142" s="30"/>
      <c r="U142" s="16"/>
    </row>
    <row r="143" spans="1:21" ht="25.5" x14ac:dyDescent="0.25">
      <c r="A143" s="16">
        <v>1</v>
      </c>
      <c r="B143" s="34" t="s">
        <v>276</v>
      </c>
      <c r="C143" s="30" t="s">
        <v>86</v>
      </c>
      <c r="D143" s="30"/>
      <c r="E143" s="30">
        <v>2021</v>
      </c>
      <c r="F143" s="27"/>
      <c r="G143" s="50">
        <v>1344.6207982625899</v>
      </c>
      <c r="H143" s="50"/>
      <c r="I143" s="50"/>
      <c r="J143" s="50"/>
      <c r="K143" s="50">
        <f t="shared" si="101"/>
        <v>50</v>
      </c>
      <c r="L143" s="50"/>
      <c r="M143" s="50">
        <v>50</v>
      </c>
      <c r="N143" s="50">
        <f t="shared" si="100"/>
        <v>50</v>
      </c>
      <c r="O143" s="50">
        <f t="shared" si="105"/>
        <v>50</v>
      </c>
      <c r="P143" s="50"/>
      <c r="Q143" s="50"/>
      <c r="R143" s="50"/>
      <c r="S143" s="50"/>
      <c r="T143" s="30" t="s">
        <v>224</v>
      </c>
      <c r="U143" s="16" t="s">
        <v>233</v>
      </c>
    </row>
    <row r="144" spans="1:21" ht="25.5" x14ac:dyDescent="0.25">
      <c r="A144" s="16">
        <v>2</v>
      </c>
      <c r="B144" s="34" t="s">
        <v>277</v>
      </c>
      <c r="C144" s="30" t="s">
        <v>86</v>
      </c>
      <c r="D144" s="30"/>
      <c r="E144" s="30">
        <v>2021</v>
      </c>
      <c r="F144" s="27"/>
      <c r="G144" s="50">
        <v>1136.4913313792704</v>
      </c>
      <c r="H144" s="50"/>
      <c r="I144" s="50"/>
      <c r="J144" s="50"/>
      <c r="K144" s="50">
        <f t="shared" si="101"/>
        <v>40</v>
      </c>
      <c r="L144" s="50"/>
      <c r="M144" s="50">
        <v>40</v>
      </c>
      <c r="N144" s="50">
        <f t="shared" si="100"/>
        <v>40</v>
      </c>
      <c r="O144" s="50">
        <f t="shared" si="105"/>
        <v>40</v>
      </c>
      <c r="P144" s="50"/>
      <c r="Q144" s="50"/>
      <c r="R144" s="50"/>
      <c r="S144" s="50"/>
      <c r="T144" s="30" t="s">
        <v>224</v>
      </c>
      <c r="U144" s="16" t="s">
        <v>233</v>
      </c>
    </row>
    <row r="145" spans="1:21" ht="25.5" x14ac:dyDescent="0.25">
      <c r="A145" s="16">
        <v>3</v>
      </c>
      <c r="B145" s="34" t="s">
        <v>278</v>
      </c>
      <c r="C145" s="30" t="s">
        <v>86</v>
      </c>
      <c r="D145" s="30"/>
      <c r="E145" s="30">
        <v>2021</v>
      </c>
      <c r="F145" s="27"/>
      <c r="G145" s="50">
        <v>4497.4399810000004</v>
      </c>
      <c r="H145" s="50"/>
      <c r="I145" s="50"/>
      <c r="J145" s="50"/>
      <c r="K145" s="50">
        <f t="shared" si="101"/>
        <v>70</v>
      </c>
      <c r="L145" s="50"/>
      <c r="M145" s="50">
        <v>70</v>
      </c>
      <c r="N145" s="50">
        <f t="shared" si="100"/>
        <v>70</v>
      </c>
      <c r="O145" s="50">
        <f t="shared" si="105"/>
        <v>70</v>
      </c>
      <c r="P145" s="50"/>
      <c r="Q145" s="50"/>
      <c r="R145" s="50"/>
      <c r="S145" s="50"/>
      <c r="T145" s="30" t="s">
        <v>224</v>
      </c>
      <c r="U145" s="16" t="s">
        <v>233</v>
      </c>
    </row>
    <row r="146" spans="1:21" ht="25.5" x14ac:dyDescent="0.25">
      <c r="A146" s="16">
        <v>4</v>
      </c>
      <c r="B146" s="34" t="s">
        <v>279</v>
      </c>
      <c r="C146" s="30" t="s">
        <v>86</v>
      </c>
      <c r="D146" s="30"/>
      <c r="E146" s="30">
        <v>2021</v>
      </c>
      <c r="F146" s="27"/>
      <c r="G146" s="50">
        <v>1879.9284963679895</v>
      </c>
      <c r="H146" s="50"/>
      <c r="I146" s="50"/>
      <c r="J146" s="50"/>
      <c r="K146" s="50">
        <f t="shared" si="101"/>
        <v>60</v>
      </c>
      <c r="L146" s="50"/>
      <c r="M146" s="50">
        <v>60</v>
      </c>
      <c r="N146" s="50">
        <f t="shared" si="100"/>
        <v>60</v>
      </c>
      <c r="O146" s="50">
        <f t="shared" si="105"/>
        <v>60</v>
      </c>
      <c r="P146" s="50"/>
      <c r="Q146" s="50"/>
      <c r="R146" s="50"/>
      <c r="S146" s="50"/>
      <c r="T146" s="30" t="s">
        <v>224</v>
      </c>
      <c r="U146" s="16" t="s">
        <v>233</v>
      </c>
    </row>
    <row r="147" spans="1:21" ht="38.25" x14ac:dyDescent="0.25">
      <c r="A147" s="16">
        <v>5</v>
      </c>
      <c r="B147" s="34" t="s">
        <v>280</v>
      </c>
      <c r="C147" s="30" t="s">
        <v>297</v>
      </c>
      <c r="D147" s="30"/>
      <c r="E147" s="30">
        <v>2021</v>
      </c>
      <c r="F147" s="27"/>
      <c r="G147" s="50">
        <v>3579.749530384383</v>
      </c>
      <c r="H147" s="50"/>
      <c r="I147" s="50"/>
      <c r="J147" s="50"/>
      <c r="K147" s="50">
        <f t="shared" si="101"/>
        <v>150</v>
      </c>
      <c r="L147" s="50"/>
      <c r="M147" s="50">
        <v>150</v>
      </c>
      <c r="N147" s="50">
        <f t="shared" si="100"/>
        <v>150</v>
      </c>
      <c r="O147" s="50">
        <f t="shared" si="105"/>
        <v>150</v>
      </c>
      <c r="P147" s="50"/>
      <c r="Q147" s="50"/>
      <c r="R147" s="50"/>
      <c r="S147" s="50"/>
      <c r="T147" s="30" t="s">
        <v>307</v>
      </c>
      <c r="U147" s="16" t="s">
        <v>233</v>
      </c>
    </row>
    <row r="148" spans="1:21" ht="38.25" x14ac:dyDescent="0.25">
      <c r="A148" s="16">
        <v>6</v>
      </c>
      <c r="B148" s="34" t="s">
        <v>281</v>
      </c>
      <c r="C148" s="30" t="s">
        <v>204</v>
      </c>
      <c r="D148" s="30"/>
      <c r="E148" s="30">
        <v>2021</v>
      </c>
      <c r="F148" s="27"/>
      <c r="G148" s="50">
        <v>1161.1429800000001</v>
      </c>
      <c r="H148" s="50"/>
      <c r="I148" s="50"/>
      <c r="J148" s="50"/>
      <c r="K148" s="50">
        <f t="shared" si="101"/>
        <v>40</v>
      </c>
      <c r="L148" s="50"/>
      <c r="M148" s="50">
        <v>40</v>
      </c>
      <c r="N148" s="50">
        <f t="shared" si="100"/>
        <v>40</v>
      </c>
      <c r="O148" s="50">
        <f t="shared" si="105"/>
        <v>40</v>
      </c>
      <c r="P148" s="50"/>
      <c r="Q148" s="50"/>
      <c r="R148" s="50"/>
      <c r="S148" s="50"/>
      <c r="T148" s="30" t="s">
        <v>308</v>
      </c>
      <c r="U148" s="16" t="s">
        <v>233</v>
      </c>
    </row>
    <row r="149" spans="1:21" ht="38.25" x14ac:dyDescent="0.25">
      <c r="A149" s="16">
        <v>7</v>
      </c>
      <c r="B149" s="34" t="s">
        <v>282</v>
      </c>
      <c r="C149" s="30" t="s">
        <v>198</v>
      </c>
      <c r="D149" s="30"/>
      <c r="E149" s="30">
        <v>2021</v>
      </c>
      <c r="F149" s="27"/>
      <c r="G149" s="50">
        <v>3933.807738</v>
      </c>
      <c r="H149" s="50"/>
      <c r="I149" s="50"/>
      <c r="J149" s="50"/>
      <c r="K149" s="50">
        <f t="shared" si="101"/>
        <v>200</v>
      </c>
      <c r="L149" s="50"/>
      <c r="M149" s="50">
        <v>200</v>
      </c>
      <c r="N149" s="50">
        <f t="shared" si="100"/>
        <v>200</v>
      </c>
      <c r="O149" s="50">
        <f t="shared" si="105"/>
        <v>200</v>
      </c>
      <c r="P149" s="50"/>
      <c r="Q149" s="50"/>
      <c r="R149" s="50"/>
      <c r="S149" s="50"/>
      <c r="T149" s="30" t="s">
        <v>306</v>
      </c>
      <c r="U149" s="16" t="s">
        <v>233</v>
      </c>
    </row>
    <row r="150" spans="1:21" ht="38.25" x14ac:dyDescent="0.25">
      <c r="A150" s="16">
        <v>8</v>
      </c>
      <c r="B150" s="34" t="s">
        <v>283</v>
      </c>
      <c r="C150" s="30" t="s">
        <v>90</v>
      </c>
      <c r="D150" s="30"/>
      <c r="E150" s="30">
        <v>2021</v>
      </c>
      <c r="F150" s="27"/>
      <c r="G150" s="50">
        <v>2008.5731030897182</v>
      </c>
      <c r="H150" s="50"/>
      <c r="I150" s="50"/>
      <c r="J150" s="50"/>
      <c r="K150" s="50">
        <f t="shared" si="101"/>
        <v>70</v>
      </c>
      <c r="L150" s="50"/>
      <c r="M150" s="50">
        <v>70</v>
      </c>
      <c r="N150" s="50">
        <f t="shared" si="100"/>
        <v>70</v>
      </c>
      <c r="O150" s="50">
        <f t="shared" si="105"/>
        <v>70</v>
      </c>
      <c r="P150" s="50"/>
      <c r="Q150" s="50"/>
      <c r="R150" s="50"/>
      <c r="S150" s="50"/>
      <c r="T150" s="30" t="s">
        <v>225</v>
      </c>
      <c r="U150" s="16" t="s">
        <v>233</v>
      </c>
    </row>
    <row r="151" spans="1:21" s="53" customFormat="1" ht="25.5" x14ac:dyDescent="0.2">
      <c r="A151" s="19" t="s">
        <v>147</v>
      </c>
      <c r="B151" s="23" t="s">
        <v>284</v>
      </c>
      <c r="C151" s="14"/>
      <c r="D151" s="14"/>
      <c r="E151" s="14"/>
      <c r="F151" s="27"/>
      <c r="G151" s="38">
        <f>+SUM(G152:G153)</f>
        <v>16924.858</v>
      </c>
      <c r="H151" s="38"/>
      <c r="I151" s="38">
        <f t="shared" ref="I151:S151" si="106">+SUM(I152:I153)</f>
        <v>15082.909000000001</v>
      </c>
      <c r="J151" s="38">
        <f t="shared" si="106"/>
        <v>10071</v>
      </c>
      <c r="K151" s="38">
        <f t="shared" si="106"/>
        <v>2021</v>
      </c>
      <c r="L151" s="38">
        <f t="shared" si="106"/>
        <v>0</v>
      </c>
      <c r="M151" s="38">
        <f t="shared" si="106"/>
        <v>2021</v>
      </c>
      <c r="N151" s="38">
        <f t="shared" si="106"/>
        <v>2021</v>
      </c>
      <c r="O151" s="38">
        <f t="shared" si="106"/>
        <v>2021</v>
      </c>
      <c r="P151" s="38">
        <f t="shared" si="106"/>
        <v>0</v>
      </c>
      <c r="Q151" s="38">
        <f t="shared" si="106"/>
        <v>0</v>
      </c>
      <c r="R151" s="38">
        <f t="shared" si="106"/>
        <v>0</v>
      </c>
      <c r="S151" s="38">
        <f t="shared" si="106"/>
        <v>0</v>
      </c>
      <c r="T151" s="30"/>
      <c r="U151" s="16"/>
    </row>
    <row r="152" spans="1:21" ht="51" x14ac:dyDescent="0.25">
      <c r="A152" s="16">
        <v>9</v>
      </c>
      <c r="B152" s="34" t="s">
        <v>285</v>
      </c>
      <c r="C152" s="30" t="s">
        <v>52</v>
      </c>
      <c r="D152" s="30"/>
      <c r="E152" s="30">
        <v>2022</v>
      </c>
      <c r="F152" s="27"/>
      <c r="G152" s="50">
        <v>14488.123</v>
      </c>
      <c r="H152" s="50"/>
      <c r="I152" s="50">
        <v>13091.048000000001</v>
      </c>
      <c r="J152" s="50">
        <v>8221</v>
      </c>
      <c r="K152" s="50">
        <f t="shared" si="101"/>
        <v>1421</v>
      </c>
      <c r="L152" s="50"/>
      <c r="M152" s="50">
        <v>1421</v>
      </c>
      <c r="N152" s="50">
        <f t="shared" si="100"/>
        <v>1421</v>
      </c>
      <c r="O152" s="50">
        <f>+K152</f>
        <v>1421</v>
      </c>
      <c r="P152" s="50"/>
      <c r="Q152" s="50"/>
      <c r="R152" s="50"/>
      <c r="S152" s="50"/>
      <c r="T152" s="30" t="s">
        <v>45</v>
      </c>
      <c r="U152" s="16" t="s">
        <v>233</v>
      </c>
    </row>
    <row r="153" spans="1:21" ht="51" x14ac:dyDescent="0.25">
      <c r="A153" s="16">
        <v>10</v>
      </c>
      <c r="B153" s="34" t="s">
        <v>286</v>
      </c>
      <c r="C153" s="30" t="s">
        <v>52</v>
      </c>
      <c r="D153" s="30"/>
      <c r="E153" s="30">
        <v>2022</v>
      </c>
      <c r="F153" s="27"/>
      <c r="G153" s="50">
        <v>2436.7349999999997</v>
      </c>
      <c r="H153" s="50"/>
      <c r="I153" s="50">
        <v>1991.8610000000001</v>
      </c>
      <c r="J153" s="50">
        <v>1850</v>
      </c>
      <c r="K153" s="50">
        <f t="shared" si="101"/>
        <v>600</v>
      </c>
      <c r="L153" s="50"/>
      <c r="M153" s="50">
        <v>600</v>
      </c>
      <c r="N153" s="50">
        <f t="shared" si="100"/>
        <v>600</v>
      </c>
      <c r="O153" s="50">
        <f>+K153</f>
        <v>600</v>
      </c>
      <c r="P153" s="50"/>
      <c r="Q153" s="50"/>
      <c r="R153" s="50"/>
      <c r="S153" s="50"/>
      <c r="T153" s="30" t="s">
        <v>45</v>
      </c>
      <c r="U153" s="16" t="s">
        <v>233</v>
      </c>
    </row>
    <row r="154" spans="1:21" s="53" customFormat="1" ht="25.5" x14ac:dyDescent="0.2">
      <c r="A154" s="19" t="s">
        <v>147</v>
      </c>
      <c r="B154" s="23" t="s">
        <v>287</v>
      </c>
      <c r="C154" s="14"/>
      <c r="D154" s="14"/>
      <c r="E154" s="14"/>
      <c r="F154" s="27"/>
      <c r="G154" s="38">
        <f>+SUM(G155:G159)</f>
        <v>10427.441000000001</v>
      </c>
      <c r="H154" s="38"/>
      <c r="I154" s="38">
        <f t="shared" ref="I154:S154" si="107">+SUM(I155:I159)</f>
        <v>6587.1140000000005</v>
      </c>
      <c r="J154" s="38">
        <f t="shared" si="107"/>
        <v>5730</v>
      </c>
      <c r="K154" s="38">
        <f t="shared" si="107"/>
        <v>1400</v>
      </c>
      <c r="L154" s="38">
        <f t="shared" si="107"/>
        <v>0</v>
      </c>
      <c r="M154" s="38">
        <f t="shared" si="107"/>
        <v>1400</v>
      </c>
      <c r="N154" s="38">
        <f t="shared" si="107"/>
        <v>1400</v>
      </c>
      <c r="O154" s="38">
        <f t="shared" si="107"/>
        <v>1400</v>
      </c>
      <c r="P154" s="38">
        <f t="shared" si="107"/>
        <v>0</v>
      </c>
      <c r="Q154" s="38">
        <f t="shared" si="107"/>
        <v>0</v>
      </c>
      <c r="R154" s="38">
        <f t="shared" si="107"/>
        <v>0</v>
      </c>
      <c r="S154" s="38">
        <f t="shared" si="107"/>
        <v>0</v>
      </c>
      <c r="T154" s="30"/>
      <c r="U154" s="16"/>
    </row>
    <row r="155" spans="1:21" ht="51" x14ac:dyDescent="0.25">
      <c r="A155" s="16">
        <v>11</v>
      </c>
      <c r="B155" s="34" t="s">
        <v>288</v>
      </c>
      <c r="C155" s="30" t="s">
        <v>298</v>
      </c>
      <c r="D155" s="30"/>
      <c r="E155" s="30" t="s">
        <v>302</v>
      </c>
      <c r="F155" s="27"/>
      <c r="G155" s="50">
        <v>2314.0200000000004</v>
      </c>
      <c r="H155" s="50"/>
      <c r="I155" s="50">
        <v>1478.365</v>
      </c>
      <c r="J155" s="50">
        <v>1250</v>
      </c>
      <c r="K155" s="50">
        <f t="shared" si="101"/>
        <v>100</v>
      </c>
      <c r="L155" s="50"/>
      <c r="M155" s="50">
        <v>100</v>
      </c>
      <c r="N155" s="50">
        <f t="shared" si="100"/>
        <v>100</v>
      </c>
      <c r="O155" s="50">
        <f>+K155</f>
        <v>100</v>
      </c>
      <c r="P155" s="50"/>
      <c r="Q155" s="50"/>
      <c r="R155" s="50"/>
      <c r="S155" s="50"/>
      <c r="T155" s="30" t="s">
        <v>45</v>
      </c>
      <c r="U155" s="16" t="s">
        <v>233</v>
      </c>
    </row>
    <row r="156" spans="1:21" ht="51" x14ac:dyDescent="0.25">
      <c r="A156" s="16">
        <v>12</v>
      </c>
      <c r="B156" s="34" t="s">
        <v>289</v>
      </c>
      <c r="C156" s="30" t="s">
        <v>298</v>
      </c>
      <c r="D156" s="30"/>
      <c r="E156" s="30" t="s">
        <v>302</v>
      </c>
      <c r="F156" s="27"/>
      <c r="G156" s="50">
        <v>3465.6</v>
      </c>
      <c r="H156" s="50"/>
      <c r="I156" s="50">
        <v>2821.8020000000001</v>
      </c>
      <c r="J156" s="50">
        <v>2500</v>
      </c>
      <c r="K156" s="50">
        <f t="shared" si="101"/>
        <v>1000</v>
      </c>
      <c r="L156" s="50"/>
      <c r="M156" s="50">
        <v>1000</v>
      </c>
      <c r="N156" s="50">
        <f t="shared" si="100"/>
        <v>1000</v>
      </c>
      <c r="O156" s="50">
        <f>+K156</f>
        <v>1000</v>
      </c>
      <c r="P156" s="50"/>
      <c r="Q156" s="50"/>
      <c r="R156" s="50"/>
      <c r="S156" s="50"/>
      <c r="T156" s="30" t="s">
        <v>45</v>
      </c>
      <c r="U156" s="16" t="s">
        <v>233</v>
      </c>
    </row>
    <row r="157" spans="1:21" ht="51" x14ac:dyDescent="0.25">
      <c r="A157" s="16">
        <v>13</v>
      </c>
      <c r="B157" s="34" t="s">
        <v>290</v>
      </c>
      <c r="C157" s="30" t="s">
        <v>298</v>
      </c>
      <c r="D157" s="30"/>
      <c r="E157" s="30" t="s">
        <v>302</v>
      </c>
      <c r="F157" s="27"/>
      <c r="G157" s="50">
        <v>2623.31</v>
      </c>
      <c r="H157" s="50"/>
      <c r="I157" s="50">
        <v>1670.921</v>
      </c>
      <c r="J157" s="50">
        <v>1400</v>
      </c>
      <c r="K157" s="50">
        <f t="shared" si="101"/>
        <v>100</v>
      </c>
      <c r="L157" s="50"/>
      <c r="M157" s="50">
        <v>100</v>
      </c>
      <c r="N157" s="50">
        <f t="shared" si="100"/>
        <v>100</v>
      </c>
      <c r="O157" s="50">
        <f>+K157</f>
        <v>100</v>
      </c>
      <c r="P157" s="50"/>
      <c r="Q157" s="50"/>
      <c r="R157" s="50"/>
      <c r="S157" s="50"/>
      <c r="T157" s="30" t="s">
        <v>45</v>
      </c>
      <c r="U157" s="16" t="s">
        <v>233</v>
      </c>
    </row>
    <row r="158" spans="1:21" ht="51" x14ac:dyDescent="0.25">
      <c r="A158" s="16">
        <v>14</v>
      </c>
      <c r="B158" s="34" t="s">
        <v>291</v>
      </c>
      <c r="C158" s="30" t="s">
        <v>298</v>
      </c>
      <c r="D158" s="30"/>
      <c r="E158" s="30" t="s">
        <v>302</v>
      </c>
      <c r="F158" s="27"/>
      <c r="G158" s="50">
        <v>951.09800000000018</v>
      </c>
      <c r="H158" s="50"/>
      <c r="I158" s="50">
        <v>616.02599999999995</v>
      </c>
      <c r="J158" s="50">
        <v>580</v>
      </c>
      <c r="K158" s="50">
        <f t="shared" si="101"/>
        <v>100</v>
      </c>
      <c r="L158" s="50"/>
      <c r="M158" s="50">
        <v>100</v>
      </c>
      <c r="N158" s="50">
        <f t="shared" si="100"/>
        <v>100</v>
      </c>
      <c r="O158" s="50">
        <f>+K158</f>
        <v>100</v>
      </c>
      <c r="P158" s="50"/>
      <c r="Q158" s="50"/>
      <c r="R158" s="50"/>
      <c r="S158" s="50"/>
      <c r="T158" s="30" t="s">
        <v>45</v>
      </c>
      <c r="U158" s="16" t="s">
        <v>233</v>
      </c>
    </row>
    <row r="159" spans="1:21" ht="51" x14ac:dyDescent="0.25">
      <c r="A159" s="16">
        <v>15</v>
      </c>
      <c r="B159" s="34" t="s">
        <v>292</v>
      </c>
      <c r="C159" s="30" t="s">
        <v>47</v>
      </c>
      <c r="D159" s="30"/>
      <c r="E159" s="30" t="s">
        <v>302</v>
      </c>
      <c r="F159" s="27"/>
      <c r="G159" s="50">
        <v>1073.413</v>
      </c>
      <c r="H159" s="50"/>
      <c r="I159" s="50"/>
      <c r="J159" s="50"/>
      <c r="K159" s="50">
        <f t="shared" si="101"/>
        <v>100</v>
      </c>
      <c r="L159" s="50"/>
      <c r="M159" s="50">
        <v>100</v>
      </c>
      <c r="N159" s="50">
        <f t="shared" si="100"/>
        <v>100</v>
      </c>
      <c r="O159" s="50">
        <f>+K159</f>
        <v>100</v>
      </c>
      <c r="P159" s="50"/>
      <c r="Q159" s="50"/>
      <c r="R159" s="50"/>
      <c r="S159" s="50"/>
      <c r="T159" s="30" t="s">
        <v>309</v>
      </c>
      <c r="U159" s="16" t="s">
        <v>233</v>
      </c>
    </row>
    <row r="160" spans="1:21" s="53" customFormat="1" ht="25.5" x14ac:dyDescent="0.2">
      <c r="A160" s="19" t="s">
        <v>147</v>
      </c>
      <c r="B160" s="23" t="s">
        <v>293</v>
      </c>
      <c r="C160" s="14"/>
      <c r="D160" s="14"/>
      <c r="E160" s="30"/>
      <c r="F160" s="27"/>
      <c r="G160" s="38">
        <f>+G161</f>
        <v>1500</v>
      </c>
      <c r="H160" s="38"/>
      <c r="I160" s="38">
        <f t="shared" ref="I160:S160" si="108">+I161</f>
        <v>0</v>
      </c>
      <c r="J160" s="38">
        <f t="shared" si="108"/>
        <v>0</v>
      </c>
      <c r="K160" s="38">
        <f t="shared" si="108"/>
        <v>1500</v>
      </c>
      <c r="L160" s="38"/>
      <c r="M160" s="38">
        <f t="shared" si="108"/>
        <v>1500</v>
      </c>
      <c r="N160" s="38">
        <f t="shared" si="108"/>
        <v>1500</v>
      </c>
      <c r="O160" s="38">
        <f t="shared" si="108"/>
        <v>0</v>
      </c>
      <c r="P160" s="38">
        <f t="shared" si="108"/>
        <v>0</v>
      </c>
      <c r="Q160" s="38">
        <f t="shared" si="108"/>
        <v>0</v>
      </c>
      <c r="R160" s="38">
        <f t="shared" si="108"/>
        <v>600</v>
      </c>
      <c r="S160" s="38">
        <f t="shared" si="108"/>
        <v>900</v>
      </c>
      <c r="T160" s="30"/>
      <c r="U160" s="16"/>
    </row>
    <row r="161" spans="1:21" ht="51" x14ac:dyDescent="0.25">
      <c r="A161" s="16">
        <v>16</v>
      </c>
      <c r="B161" s="34" t="s">
        <v>294</v>
      </c>
      <c r="C161" s="30" t="s">
        <v>299</v>
      </c>
      <c r="D161" s="30"/>
      <c r="E161" s="30">
        <v>2024</v>
      </c>
      <c r="F161" s="27"/>
      <c r="G161" s="50">
        <v>1500</v>
      </c>
      <c r="H161" s="50"/>
      <c r="I161" s="50"/>
      <c r="J161" s="50"/>
      <c r="K161" s="50">
        <f t="shared" si="101"/>
        <v>1500</v>
      </c>
      <c r="L161" s="50"/>
      <c r="M161" s="50">
        <v>1500</v>
      </c>
      <c r="N161" s="50">
        <f t="shared" si="100"/>
        <v>1500</v>
      </c>
      <c r="O161" s="50"/>
      <c r="P161" s="50"/>
      <c r="Q161" s="50"/>
      <c r="R161" s="50">
        <f t="shared" ref="R161" si="109">+K161*40%</f>
        <v>600</v>
      </c>
      <c r="S161" s="50">
        <f t="shared" ref="S161" si="110">+K161-R161</f>
        <v>900</v>
      </c>
      <c r="T161" s="30" t="s">
        <v>45</v>
      </c>
      <c r="U161" s="16" t="s">
        <v>235</v>
      </c>
    </row>
  </sheetData>
  <mergeCells count="23">
    <mergeCell ref="O5:S5"/>
    <mergeCell ref="P6:Q6"/>
    <mergeCell ref="F5:F6"/>
    <mergeCell ref="G5:H5"/>
    <mergeCell ref="K5:K6"/>
    <mergeCell ref="L5:M5"/>
    <mergeCell ref="N5:N6"/>
    <mergeCell ref="A1:U1"/>
    <mergeCell ref="A4:A6"/>
    <mergeCell ref="B4:B6"/>
    <mergeCell ref="C4:C6"/>
    <mergeCell ref="D4:D6"/>
    <mergeCell ref="E4:E6"/>
    <mergeCell ref="F4:H4"/>
    <mergeCell ref="I4:I6"/>
    <mergeCell ref="J4:J6"/>
    <mergeCell ref="K4:M4"/>
    <mergeCell ref="O6:O7"/>
    <mergeCell ref="R6:S6"/>
    <mergeCell ref="A2:U2"/>
    <mergeCell ref="N4:S4"/>
    <mergeCell ref="T4:T6"/>
    <mergeCell ref="U4:U6"/>
  </mergeCells>
  <pageMargins left="0.19685039370078741" right="0.19685039370078741" top="0.59055118110236227" bottom="0.59055118110236227"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H107"/>
  <sheetViews>
    <sheetView workbookViewId="0">
      <pane xSplit="2" ySplit="8" topLeftCell="C9" activePane="bottomRight" state="frozen"/>
      <selection pane="topRight" activeCell="C1" sqref="C1"/>
      <selection pane="bottomLeft" activeCell="A9" sqref="A9"/>
      <selection pane="bottomRight" activeCell="T8" sqref="T8"/>
    </sheetView>
  </sheetViews>
  <sheetFormatPr defaultColWidth="9.140625" defaultRowHeight="15" x14ac:dyDescent="0.25"/>
  <cols>
    <col min="1" max="1" width="4.42578125" style="59" bestFit="1" customWidth="1"/>
    <col min="2" max="2" width="32.7109375" style="60" bestFit="1" customWidth="1"/>
    <col min="3" max="3" width="8.28515625" bestFit="1" customWidth="1"/>
    <col min="4" max="4" width="8.5703125" bestFit="1" customWidth="1"/>
    <col min="5" max="5" width="9" style="59" bestFit="1" customWidth="1"/>
    <col min="6" max="6" width="10.28515625" customWidth="1"/>
    <col min="7" max="7" width="11.28515625" bestFit="1" customWidth="1"/>
    <col min="8" max="8" width="9.28515625" bestFit="1" customWidth="1"/>
    <col min="9" max="9" width="11" customWidth="1"/>
    <col min="10" max="10" width="12.28515625" bestFit="1" customWidth="1"/>
    <col min="11" max="11" width="10.28515625" style="61" bestFit="1" customWidth="1"/>
    <col min="12" max="12" width="10.7109375" style="61" bestFit="1" customWidth="1"/>
    <col min="13" max="13" width="10.28515625" style="61" bestFit="1" customWidth="1"/>
    <col min="14" max="14" width="10.28515625" style="61" hidden="1" customWidth="1"/>
    <col min="15" max="15" width="12.28515625" style="61" customWidth="1"/>
    <col min="16" max="16" width="11.85546875" style="61" customWidth="1"/>
    <col min="17" max="17" width="11" style="61" customWidth="1"/>
    <col min="18" max="18" width="11.42578125" style="61" customWidth="1"/>
    <col min="19" max="19" width="11" style="61" customWidth="1"/>
    <col min="20" max="20" width="11.42578125" style="61" customWidth="1"/>
    <col min="21" max="21" width="7.7109375" bestFit="1" customWidth="1"/>
    <col min="22" max="22" width="7.28515625" style="62" bestFit="1" customWidth="1"/>
  </cols>
  <sheetData>
    <row r="1" spans="1:34" s="9" customFormat="1" ht="15.75" x14ac:dyDescent="0.2">
      <c r="A1" s="78" t="s">
        <v>18</v>
      </c>
      <c r="B1" s="78"/>
      <c r="C1" s="78"/>
      <c r="D1" s="78"/>
      <c r="E1" s="78"/>
      <c r="F1" s="78"/>
      <c r="G1" s="78"/>
      <c r="H1" s="78"/>
      <c r="I1" s="78"/>
      <c r="J1" s="78"/>
      <c r="K1" s="78"/>
      <c r="L1" s="78"/>
      <c r="M1" s="78"/>
      <c r="N1" s="78"/>
      <c r="O1" s="78"/>
      <c r="P1" s="78"/>
      <c r="Q1" s="78"/>
      <c r="R1" s="78"/>
      <c r="S1" s="78"/>
      <c r="T1" s="78"/>
      <c r="U1" s="78"/>
      <c r="V1" s="78"/>
      <c r="W1" s="5"/>
      <c r="X1" s="6"/>
      <c r="Y1" s="5"/>
      <c r="Z1" s="5"/>
      <c r="AA1" s="7"/>
      <c r="AB1" s="7"/>
      <c r="AC1" s="7"/>
      <c r="AD1" s="7"/>
      <c r="AE1" s="7"/>
      <c r="AF1" s="7"/>
      <c r="AG1" s="8"/>
      <c r="AH1" s="8"/>
    </row>
    <row r="2" spans="1:34" s="9" customFormat="1" ht="15.75" x14ac:dyDescent="0.2">
      <c r="A2" s="94" t="str">
        <f>VĐT!A2</f>
        <v>(Kèm theo Kế hoạch số      /KH-UBND ngày 26/4/2024 của UBND huyện Bắc Sơn)</v>
      </c>
      <c r="B2" s="94"/>
      <c r="C2" s="94"/>
      <c r="D2" s="94"/>
      <c r="E2" s="94"/>
      <c r="F2" s="94"/>
      <c r="G2" s="94"/>
      <c r="H2" s="94"/>
      <c r="I2" s="94"/>
      <c r="J2" s="94"/>
      <c r="K2" s="94"/>
      <c r="L2" s="94"/>
      <c r="M2" s="94"/>
      <c r="N2" s="94"/>
      <c r="O2" s="94"/>
      <c r="P2" s="94"/>
      <c r="Q2" s="94"/>
      <c r="R2" s="94"/>
      <c r="S2" s="94"/>
      <c r="T2" s="94"/>
      <c r="U2" s="94"/>
      <c r="V2" s="94"/>
      <c r="W2" s="5"/>
      <c r="X2" s="6"/>
      <c r="Y2" s="5"/>
      <c r="Z2" s="5"/>
      <c r="AA2" s="7"/>
      <c r="AB2" s="7"/>
      <c r="AC2" s="7"/>
      <c r="AD2" s="7"/>
      <c r="AE2" s="7"/>
      <c r="AF2" s="7"/>
      <c r="AG2" s="8"/>
      <c r="AH2" s="8"/>
    </row>
    <row r="4" spans="1:34" s="10" customFormat="1" ht="26.25" customHeight="1" x14ac:dyDescent="0.25">
      <c r="A4" s="79" t="s">
        <v>0</v>
      </c>
      <c r="B4" s="79" t="s">
        <v>19</v>
      </c>
      <c r="C4" s="79" t="s">
        <v>1</v>
      </c>
      <c r="D4" s="82" t="s">
        <v>2</v>
      </c>
      <c r="E4" s="85" t="s">
        <v>3</v>
      </c>
      <c r="F4" s="88" t="s">
        <v>4</v>
      </c>
      <c r="G4" s="89"/>
      <c r="H4" s="90"/>
      <c r="I4" s="79" t="s">
        <v>20</v>
      </c>
      <c r="J4" s="79" t="s">
        <v>5</v>
      </c>
      <c r="K4" s="91" t="s">
        <v>6</v>
      </c>
      <c r="L4" s="92"/>
      <c r="M4" s="93"/>
      <c r="N4" s="101" t="s">
        <v>22</v>
      </c>
      <c r="O4" s="101"/>
      <c r="P4" s="101"/>
      <c r="Q4" s="101"/>
      <c r="R4" s="101"/>
      <c r="S4" s="101"/>
      <c r="T4" s="101"/>
      <c r="U4" s="79" t="s">
        <v>7</v>
      </c>
      <c r="V4" s="79" t="s">
        <v>8</v>
      </c>
    </row>
    <row r="5" spans="1:34" s="10" customFormat="1" ht="18.75" customHeight="1" x14ac:dyDescent="0.25">
      <c r="A5" s="80"/>
      <c r="B5" s="80"/>
      <c r="C5" s="80"/>
      <c r="D5" s="83"/>
      <c r="E5" s="86"/>
      <c r="F5" s="79" t="s">
        <v>9</v>
      </c>
      <c r="G5" s="88" t="s">
        <v>10</v>
      </c>
      <c r="H5" s="90"/>
      <c r="I5" s="80"/>
      <c r="J5" s="80"/>
      <c r="K5" s="79" t="s">
        <v>11</v>
      </c>
      <c r="L5" s="88" t="s">
        <v>12</v>
      </c>
      <c r="M5" s="90"/>
      <c r="N5" s="100" t="s">
        <v>11</v>
      </c>
      <c r="O5" s="97" t="s">
        <v>21</v>
      </c>
      <c r="P5" s="98"/>
      <c r="Q5" s="98"/>
      <c r="R5" s="98"/>
      <c r="S5" s="98"/>
      <c r="T5" s="99"/>
      <c r="U5" s="80"/>
      <c r="V5" s="80"/>
    </row>
    <row r="6" spans="1:34" s="10" customFormat="1" ht="55.5" customHeight="1" x14ac:dyDescent="0.25">
      <c r="A6" s="81"/>
      <c r="B6" s="81"/>
      <c r="C6" s="81"/>
      <c r="D6" s="84"/>
      <c r="E6" s="87"/>
      <c r="F6" s="81"/>
      <c r="G6" s="14" t="s">
        <v>11</v>
      </c>
      <c r="H6" s="14" t="s">
        <v>13</v>
      </c>
      <c r="I6" s="81"/>
      <c r="J6" s="81"/>
      <c r="K6" s="81"/>
      <c r="L6" s="14" t="s">
        <v>14</v>
      </c>
      <c r="M6" s="14" t="s">
        <v>15</v>
      </c>
      <c r="N6" s="100"/>
      <c r="O6" s="14" t="s">
        <v>242</v>
      </c>
      <c r="P6" s="14" t="s">
        <v>243</v>
      </c>
      <c r="Q6" s="14" t="s">
        <v>244</v>
      </c>
      <c r="R6" s="14" t="s">
        <v>245</v>
      </c>
      <c r="S6" s="14" t="s">
        <v>241</v>
      </c>
      <c r="T6" s="14" t="s">
        <v>240</v>
      </c>
      <c r="U6" s="81"/>
      <c r="V6" s="81"/>
      <c r="X6" s="10" t="s">
        <v>23</v>
      </c>
    </row>
    <row r="7" spans="1:34" s="18" customFormat="1" ht="12.75" x14ac:dyDescent="0.25">
      <c r="A7" s="16">
        <v>1</v>
      </c>
      <c r="B7" s="17">
        <v>2</v>
      </c>
      <c r="C7" s="16">
        <v>3</v>
      </c>
      <c r="D7" s="16">
        <v>4</v>
      </c>
      <c r="E7" s="16">
        <v>5</v>
      </c>
      <c r="F7" s="16">
        <v>6</v>
      </c>
      <c r="G7" s="16">
        <v>7</v>
      </c>
      <c r="H7" s="16">
        <v>8</v>
      </c>
      <c r="I7" s="16">
        <v>9</v>
      </c>
      <c r="J7" s="16">
        <v>10</v>
      </c>
      <c r="K7" s="16" t="s">
        <v>16</v>
      </c>
      <c r="L7" s="16">
        <v>12</v>
      </c>
      <c r="M7" s="16">
        <v>13</v>
      </c>
      <c r="N7" s="16" t="s">
        <v>17</v>
      </c>
      <c r="O7" s="16">
        <v>14</v>
      </c>
      <c r="P7" s="16">
        <v>15</v>
      </c>
      <c r="Q7" s="16">
        <v>16</v>
      </c>
      <c r="R7" s="16">
        <v>17</v>
      </c>
      <c r="S7" s="16">
        <v>18</v>
      </c>
      <c r="T7" s="16">
        <v>19</v>
      </c>
      <c r="U7" s="16">
        <v>20</v>
      </c>
      <c r="V7" s="16">
        <v>21</v>
      </c>
    </row>
    <row r="8" spans="1:34" s="22" customFormat="1" ht="12.75" x14ac:dyDescent="0.25">
      <c r="A8" s="19"/>
      <c r="B8" s="20" t="s">
        <v>238</v>
      </c>
      <c r="C8" s="19"/>
      <c r="D8" s="19"/>
      <c r="E8" s="19"/>
      <c r="F8" s="19"/>
      <c r="G8" s="21">
        <f>+G9</f>
        <v>161194.34895848396</v>
      </c>
      <c r="H8" s="21">
        <f t="shared" ref="H8:T8" si="0">+H9</f>
        <v>137</v>
      </c>
      <c r="I8" s="21">
        <f t="shared" si="0"/>
        <v>109338.268</v>
      </c>
      <c r="J8" s="21">
        <f t="shared" si="0"/>
        <v>80335</v>
      </c>
      <c r="K8" s="3">
        <f t="shared" si="0"/>
        <v>35418.953999999998</v>
      </c>
      <c r="L8" s="21">
        <f t="shared" si="0"/>
        <v>2315.9540000000002</v>
      </c>
      <c r="M8" s="21">
        <f t="shared" si="0"/>
        <v>33103</v>
      </c>
      <c r="N8" s="21">
        <f>+N9</f>
        <v>67395.953999999983</v>
      </c>
      <c r="O8" s="21">
        <f t="shared" si="0"/>
        <v>6976.2540000000008</v>
      </c>
      <c r="P8" s="21">
        <f t="shared" si="0"/>
        <v>6620.5999999999995</v>
      </c>
      <c r="Q8" s="21">
        <f t="shared" si="0"/>
        <v>9930.9</v>
      </c>
      <c r="R8" s="21">
        <f t="shared" si="0"/>
        <v>16551.5</v>
      </c>
      <c r="S8" s="21">
        <f t="shared" si="0"/>
        <v>26482.399999999998</v>
      </c>
      <c r="T8" s="3">
        <f t="shared" si="0"/>
        <v>35418.953999999998</v>
      </c>
      <c r="U8" s="19"/>
      <c r="V8" s="19"/>
    </row>
    <row r="9" spans="1:34" s="25" customFormat="1" ht="12.75" x14ac:dyDescent="0.25">
      <c r="A9" s="19" t="s">
        <v>29</v>
      </c>
      <c r="B9" s="23" t="s">
        <v>30</v>
      </c>
      <c r="C9" s="24"/>
      <c r="D9" s="24"/>
      <c r="E9" s="16"/>
      <c r="F9" s="24"/>
      <c r="G9" s="21">
        <f>G10+G11</f>
        <v>161194.34895848396</v>
      </c>
      <c r="H9" s="21">
        <f t="shared" ref="H9:T9" si="1">H10+H11</f>
        <v>137</v>
      </c>
      <c r="I9" s="21">
        <f t="shared" si="1"/>
        <v>109338.268</v>
      </c>
      <c r="J9" s="21">
        <f t="shared" si="1"/>
        <v>80335</v>
      </c>
      <c r="K9" s="21">
        <f t="shared" si="1"/>
        <v>35418.953999999998</v>
      </c>
      <c r="L9" s="21">
        <f t="shared" si="1"/>
        <v>2315.9540000000002</v>
      </c>
      <c r="M9" s="21">
        <f t="shared" si="1"/>
        <v>33103</v>
      </c>
      <c r="N9" s="21">
        <f t="shared" si="1"/>
        <v>67395.953999999983</v>
      </c>
      <c r="O9" s="21">
        <f t="shared" si="1"/>
        <v>6976.2540000000008</v>
      </c>
      <c r="P9" s="21">
        <f t="shared" si="1"/>
        <v>6620.5999999999995</v>
      </c>
      <c r="Q9" s="21">
        <f t="shared" si="1"/>
        <v>9930.9</v>
      </c>
      <c r="R9" s="21">
        <f t="shared" si="1"/>
        <v>16551.5</v>
      </c>
      <c r="S9" s="21">
        <f t="shared" si="1"/>
        <v>26482.399999999998</v>
      </c>
      <c r="T9" s="21">
        <f t="shared" si="1"/>
        <v>35418.953999999998</v>
      </c>
      <c r="U9" s="24"/>
      <c r="V9" s="16"/>
    </row>
    <row r="10" spans="1:34" s="25" customFormat="1" ht="12.75" x14ac:dyDescent="0.25">
      <c r="A10" s="19" t="s">
        <v>31</v>
      </c>
      <c r="B10" s="23" t="s">
        <v>32</v>
      </c>
      <c r="C10" s="24"/>
      <c r="D10" s="24"/>
      <c r="E10" s="16"/>
      <c r="F10" s="24"/>
      <c r="G10" s="26"/>
      <c r="H10" s="26"/>
      <c r="I10" s="26"/>
      <c r="J10" s="26"/>
      <c r="K10" s="26"/>
      <c r="L10" s="26"/>
      <c r="M10" s="26"/>
      <c r="N10" s="26"/>
      <c r="O10" s="21"/>
      <c r="P10" s="21"/>
      <c r="Q10" s="21"/>
      <c r="R10" s="21"/>
      <c r="S10" s="21"/>
      <c r="T10" s="21"/>
      <c r="U10" s="24"/>
      <c r="V10" s="16"/>
    </row>
    <row r="11" spans="1:34" s="28" customFormat="1" ht="12.75" x14ac:dyDescent="0.25">
      <c r="A11" s="14" t="s">
        <v>36</v>
      </c>
      <c r="B11" s="23" t="s">
        <v>37</v>
      </c>
      <c r="C11" s="27"/>
      <c r="D11" s="27"/>
      <c r="E11" s="19"/>
      <c r="F11" s="27"/>
      <c r="G11" s="21">
        <f>+G12+G18+G28+G38+G56+G88</f>
        <v>161194.34895848396</v>
      </c>
      <c r="H11" s="21">
        <f t="shared" ref="H11:T11" si="2">+H12+H18+H28+H38+H56+H88</f>
        <v>137</v>
      </c>
      <c r="I11" s="21">
        <f t="shared" si="2"/>
        <v>109338.268</v>
      </c>
      <c r="J11" s="21">
        <f t="shared" si="2"/>
        <v>80335</v>
      </c>
      <c r="K11" s="21">
        <f t="shared" si="2"/>
        <v>35418.953999999998</v>
      </c>
      <c r="L11" s="21">
        <f t="shared" si="2"/>
        <v>2315.9540000000002</v>
      </c>
      <c r="M11" s="21">
        <f t="shared" si="2"/>
        <v>33103</v>
      </c>
      <c r="N11" s="21">
        <f t="shared" si="2"/>
        <v>67395.953999999983</v>
      </c>
      <c r="O11" s="21">
        <f t="shared" si="2"/>
        <v>6976.2540000000008</v>
      </c>
      <c r="P11" s="21">
        <f t="shared" si="2"/>
        <v>6620.5999999999995</v>
      </c>
      <c r="Q11" s="21">
        <f t="shared" si="2"/>
        <v>9930.9</v>
      </c>
      <c r="R11" s="21">
        <f t="shared" si="2"/>
        <v>16551.5</v>
      </c>
      <c r="S11" s="21">
        <f t="shared" si="2"/>
        <v>26482.399999999998</v>
      </c>
      <c r="T11" s="21">
        <f t="shared" si="2"/>
        <v>35418.953999999998</v>
      </c>
      <c r="U11" s="27"/>
      <c r="V11" s="19"/>
    </row>
    <row r="12" spans="1:34" s="28" customFormat="1" ht="12.75" x14ac:dyDescent="0.25">
      <c r="A12" s="19" t="s">
        <v>39</v>
      </c>
      <c r="B12" s="20" t="s">
        <v>38</v>
      </c>
      <c r="C12" s="27"/>
      <c r="D12" s="27"/>
      <c r="E12" s="19"/>
      <c r="F12" s="27"/>
      <c r="G12" s="21">
        <f>+G13</f>
        <v>15304</v>
      </c>
      <c r="H12" s="21">
        <f t="shared" ref="H12:T12" si="3">+H13</f>
        <v>0</v>
      </c>
      <c r="I12" s="21">
        <f t="shared" si="3"/>
        <v>14972.1</v>
      </c>
      <c r="J12" s="21">
        <f t="shared" si="3"/>
        <v>9122</v>
      </c>
      <c r="K12" s="21">
        <f t="shared" si="3"/>
        <v>5849</v>
      </c>
      <c r="L12" s="21">
        <f t="shared" si="3"/>
        <v>0</v>
      </c>
      <c r="M12" s="21">
        <f t="shared" si="3"/>
        <v>5849</v>
      </c>
      <c r="N12" s="21">
        <f t="shared" si="3"/>
        <v>11113.099999999999</v>
      </c>
      <c r="O12" s="21">
        <f t="shared" si="3"/>
        <v>584.9</v>
      </c>
      <c r="P12" s="21">
        <f t="shared" si="3"/>
        <v>1169.8</v>
      </c>
      <c r="Q12" s="21">
        <f t="shared" si="3"/>
        <v>1754.7</v>
      </c>
      <c r="R12" s="21">
        <f t="shared" si="3"/>
        <v>2924.5</v>
      </c>
      <c r="S12" s="21">
        <f t="shared" si="3"/>
        <v>4679.2</v>
      </c>
      <c r="T12" s="21">
        <f t="shared" si="3"/>
        <v>5849</v>
      </c>
      <c r="U12" s="27"/>
      <c r="V12" s="19"/>
    </row>
    <row r="13" spans="1:34" s="25" customFormat="1" ht="25.5" x14ac:dyDescent="0.25">
      <c r="A13" s="16" t="s">
        <v>29</v>
      </c>
      <c r="B13" s="34" t="s">
        <v>228</v>
      </c>
      <c r="C13" s="24"/>
      <c r="D13" s="24"/>
      <c r="E13" s="16"/>
      <c r="F13" s="24"/>
      <c r="G13" s="26">
        <f>+G14+G15+G16+G17</f>
        <v>15304</v>
      </c>
      <c r="H13" s="26">
        <f t="shared" ref="H13:N13" si="4">+H14+H15+H16+H17</f>
        <v>0</v>
      </c>
      <c r="I13" s="26">
        <f t="shared" si="4"/>
        <v>14972.1</v>
      </c>
      <c r="J13" s="26">
        <f t="shared" si="4"/>
        <v>9122</v>
      </c>
      <c r="K13" s="26">
        <f>+K14+K15+K16+K17</f>
        <v>5849</v>
      </c>
      <c r="L13" s="26">
        <f t="shared" si="4"/>
        <v>0</v>
      </c>
      <c r="M13" s="26">
        <f t="shared" si="4"/>
        <v>5849</v>
      </c>
      <c r="N13" s="26">
        <f t="shared" si="4"/>
        <v>11113.099999999999</v>
      </c>
      <c r="O13" s="26">
        <f t="shared" ref="O13:O55" si="5">+K13*10%</f>
        <v>584.9</v>
      </c>
      <c r="P13" s="26">
        <f t="shared" ref="P13:P55" si="6">+K13*20%</f>
        <v>1169.8</v>
      </c>
      <c r="Q13" s="26">
        <f t="shared" ref="Q13:Q55" si="7">+K13*30%</f>
        <v>1754.7</v>
      </c>
      <c r="R13" s="26">
        <f t="shared" ref="R13:R55" si="8">+K13*50%</f>
        <v>2924.5</v>
      </c>
      <c r="S13" s="26">
        <f t="shared" ref="S13:S55" si="9">+K13*80%</f>
        <v>4679.2</v>
      </c>
      <c r="T13" s="26">
        <f t="shared" ref="T13:T55" si="10">+K13</f>
        <v>5849</v>
      </c>
      <c r="U13" s="24"/>
      <c r="V13" s="16"/>
    </row>
    <row r="14" spans="1:34" s="25" customFormat="1" ht="51" x14ac:dyDescent="0.25">
      <c r="A14" s="16">
        <v>1</v>
      </c>
      <c r="B14" s="34" t="s">
        <v>40</v>
      </c>
      <c r="C14" s="30" t="s">
        <v>41</v>
      </c>
      <c r="D14" s="30" t="s">
        <v>42</v>
      </c>
      <c r="E14" s="30" t="s">
        <v>43</v>
      </c>
      <c r="F14" s="30" t="s">
        <v>44</v>
      </c>
      <c r="G14" s="26">
        <v>2833</v>
      </c>
      <c r="H14" s="26"/>
      <c r="I14" s="26">
        <v>2619.7060000000001</v>
      </c>
      <c r="J14" s="26">
        <v>2270</v>
      </c>
      <c r="K14" s="26">
        <f>+L14+M14</f>
        <v>348.99600000000015</v>
      </c>
      <c r="L14" s="26"/>
      <c r="M14" s="26">
        <f>+I14-J14-0.71</f>
        <v>348.99600000000015</v>
      </c>
      <c r="N14" s="26">
        <f>+O14+P14+Q14+R14+S14</f>
        <v>663.09240000000023</v>
      </c>
      <c r="O14" s="26">
        <f t="shared" si="5"/>
        <v>34.899600000000014</v>
      </c>
      <c r="P14" s="26">
        <f t="shared" si="6"/>
        <v>69.799200000000027</v>
      </c>
      <c r="Q14" s="26">
        <f t="shared" si="7"/>
        <v>104.69880000000005</v>
      </c>
      <c r="R14" s="26">
        <f t="shared" si="8"/>
        <v>174.49800000000008</v>
      </c>
      <c r="S14" s="26">
        <f t="shared" si="9"/>
        <v>279.19680000000011</v>
      </c>
      <c r="T14" s="26">
        <f t="shared" si="10"/>
        <v>348.99600000000015</v>
      </c>
      <c r="U14" s="1" t="s">
        <v>45</v>
      </c>
      <c r="V14" s="16" t="s">
        <v>233</v>
      </c>
      <c r="Y14" s="63">
        <f>+K8+'Nhom Da Chuyen tiep'!K8+'Nhom Da KCm'!K8</f>
        <v>92423.353999999992</v>
      </c>
    </row>
    <row r="15" spans="1:34" s="25" customFormat="1" ht="51" x14ac:dyDescent="0.25">
      <c r="A15" s="30">
        <v>2</v>
      </c>
      <c r="B15" s="34" t="s">
        <v>46</v>
      </c>
      <c r="C15" s="30" t="s">
        <v>47</v>
      </c>
      <c r="D15" s="30" t="s">
        <v>48</v>
      </c>
      <c r="E15" s="30" t="s">
        <v>49</v>
      </c>
      <c r="F15" s="30" t="s">
        <v>50</v>
      </c>
      <c r="G15" s="35">
        <v>4070</v>
      </c>
      <c r="H15" s="26"/>
      <c r="I15" s="26">
        <v>4069.3939999999998</v>
      </c>
      <c r="J15" s="26">
        <v>1850</v>
      </c>
      <c r="K15" s="26">
        <f>+L15+M15</f>
        <v>2219.0039999999999</v>
      </c>
      <c r="L15" s="26"/>
      <c r="M15" s="26">
        <f>+I15-J15-0.39</f>
        <v>2219.0039999999999</v>
      </c>
      <c r="N15" s="26">
        <f>+O15+P15+Q15+R15+S15</f>
        <v>4216.1075999999994</v>
      </c>
      <c r="O15" s="26">
        <f t="shared" si="5"/>
        <v>221.90039999999999</v>
      </c>
      <c r="P15" s="26">
        <f t="shared" si="6"/>
        <v>443.80079999999998</v>
      </c>
      <c r="Q15" s="26">
        <f t="shared" si="7"/>
        <v>665.70119999999997</v>
      </c>
      <c r="R15" s="26">
        <f t="shared" si="8"/>
        <v>1109.502</v>
      </c>
      <c r="S15" s="26">
        <f t="shared" si="9"/>
        <v>1775.2031999999999</v>
      </c>
      <c r="T15" s="26">
        <f t="shared" si="10"/>
        <v>2219.0039999999999</v>
      </c>
      <c r="U15" s="1" t="s">
        <v>45</v>
      </c>
      <c r="V15" s="16" t="s">
        <v>233</v>
      </c>
    </row>
    <row r="16" spans="1:34" s="25" customFormat="1" ht="51" x14ac:dyDescent="0.25">
      <c r="A16" s="30">
        <v>3</v>
      </c>
      <c r="B16" s="34" t="s">
        <v>51</v>
      </c>
      <c r="C16" s="30" t="s">
        <v>52</v>
      </c>
      <c r="D16" s="30" t="s">
        <v>48</v>
      </c>
      <c r="E16" s="30" t="s">
        <v>49</v>
      </c>
      <c r="F16" s="30" t="s">
        <v>53</v>
      </c>
      <c r="G16" s="35">
        <v>5327</v>
      </c>
      <c r="H16" s="26"/>
      <c r="I16" s="26">
        <v>5327</v>
      </c>
      <c r="J16" s="26">
        <v>2133</v>
      </c>
      <c r="K16" s="26">
        <f>+L16+M16</f>
        <v>3194</v>
      </c>
      <c r="L16" s="26"/>
      <c r="M16" s="26">
        <f>+I16-J16</f>
        <v>3194</v>
      </c>
      <c r="N16" s="26">
        <f>+O16+P16+Q16+R16+S16</f>
        <v>6068.6</v>
      </c>
      <c r="O16" s="26">
        <f t="shared" si="5"/>
        <v>319.40000000000003</v>
      </c>
      <c r="P16" s="26">
        <f t="shared" si="6"/>
        <v>638.80000000000007</v>
      </c>
      <c r="Q16" s="26">
        <f t="shared" si="7"/>
        <v>958.19999999999993</v>
      </c>
      <c r="R16" s="26">
        <f t="shared" si="8"/>
        <v>1597</v>
      </c>
      <c r="S16" s="26">
        <f t="shared" si="9"/>
        <v>2555.2000000000003</v>
      </c>
      <c r="T16" s="26">
        <f t="shared" si="10"/>
        <v>3194</v>
      </c>
      <c r="U16" s="1" t="s">
        <v>45</v>
      </c>
      <c r="V16" s="16" t="s">
        <v>233</v>
      </c>
    </row>
    <row r="17" spans="1:22" s="25" customFormat="1" ht="51" x14ac:dyDescent="0.25">
      <c r="A17" s="30">
        <v>4</v>
      </c>
      <c r="B17" s="34" t="s">
        <v>54</v>
      </c>
      <c r="C17" s="30" t="s">
        <v>55</v>
      </c>
      <c r="D17" s="30" t="s">
        <v>56</v>
      </c>
      <c r="E17" s="30" t="s">
        <v>57</v>
      </c>
      <c r="F17" s="30" t="s">
        <v>58</v>
      </c>
      <c r="G17" s="35">
        <v>3074</v>
      </c>
      <c r="H17" s="26"/>
      <c r="I17" s="26">
        <v>2956</v>
      </c>
      <c r="J17" s="26">
        <f>1500+1369</f>
        <v>2869</v>
      </c>
      <c r="K17" s="26">
        <f>+L17+M17</f>
        <v>87</v>
      </c>
      <c r="L17" s="26"/>
      <c r="M17" s="26">
        <f>+I17-J17</f>
        <v>87</v>
      </c>
      <c r="N17" s="26">
        <f>+O17+P17+Q17+R17+S17</f>
        <v>165.3</v>
      </c>
      <c r="O17" s="26">
        <f t="shared" si="5"/>
        <v>8.7000000000000011</v>
      </c>
      <c r="P17" s="26">
        <f t="shared" si="6"/>
        <v>17.400000000000002</v>
      </c>
      <c r="Q17" s="26">
        <f t="shared" si="7"/>
        <v>26.099999999999998</v>
      </c>
      <c r="R17" s="26">
        <f t="shared" si="8"/>
        <v>43.5</v>
      </c>
      <c r="S17" s="26">
        <f t="shared" si="9"/>
        <v>69.600000000000009</v>
      </c>
      <c r="T17" s="26">
        <f t="shared" si="10"/>
        <v>87</v>
      </c>
      <c r="U17" s="1" t="s">
        <v>45</v>
      </c>
      <c r="V17" s="16" t="s">
        <v>233</v>
      </c>
    </row>
    <row r="18" spans="1:22" s="28" customFormat="1" ht="25.5" x14ac:dyDescent="0.25">
      <c r="A18" s="19" t="s">
        <v>67</v>
      </c>
      <c r="B18" s="23" t="s">
        <v>68</v>
      </c>
      <c r="C18" s="27"/>
      <c r="D18" s="27"/>
      <c r="E18" s="19"/>
      <c r="F18" s="27"/>
      <c r="G18" s="21">
        <f>+G22+G19</f>
        <v>10511</v>
      </c>
      <c r="H18" s="21">
        <f t="shared" ref="H18:T18" si="11">+H22+H19</f>
        <v>0</v>
      </c>
      <c r="I18" s="21">
        <f t="shared" si="11"/>
        <v>10305</v>
      </c>
      <c r="J18" s="21">
        <f t="shared" si="11"/>
        <v>5041</v>
      </c>
      <c r="K18" s="21">
        <f t="shared" si="11"/>
        <v>3587</v>
      </c>
      <c r="L18" s="21">
        <f t="shared" si="11"/>
        <v>0</v>
      </c>
      <c r="M18" s="21">
        <f t="shared" si="11"/>
        <v>3587</v>
      </c>
      <c r="N18" s="21">
        <f t="shared" si="11"/>
        <v>8165.3</v>
      </c>
      <c r="O18" s="21">
        <f t="shared" si="11"/>
        <v>1708.7</v>
      </c>
      <c r="P18" s="21">
        <f t="shared" si="11"/>
        <v>717.40000000000009</v>
      </c>
      <c r="Q18" s="21">
        <f t="shared" si="11"/>
        <v>1076.0999999999999</v>
      </c>
      <c r="R18" s="21">
        <f t="shared" si="11"/>
        <v>1793.5</v>
      </c>
      <c r="S18" s="21">
        <f t="shared" si="11"/>
        <v>2869.6000000000004</v>
      </c>
      <c r="T18" s="21">
        <f t="shared" si="11"/>
        <v>3587</v>
      </c>
      <c r="U18" s="27"/>
      <c r="V18" s="19"/>
    </row>
    <row r="19" spans="1:22" s="25" customFormat="1" ht="12.75" x14ac:dyDescent="0.25">
      <c r="A19" s="16" t="s">
        <v>29</v>
      </c>
      <c r="B19" s="34" t="s">
        <v>69</v>
      </c>
      <c r="C19" s="24"/>
      <c r="D19" s="24"/>
      <c r="E19" s="16"/>
      <c r="F19" s="24"/>
      <c r="G19" s="26">
        <f>+G20+G21</f>
        <v>5450</v>
      </c>
      <c r="H19" s="26">
        <f t="shared" ref="H19:T19" si="12">+H20+H21</f>
        <v>0</v>
      </c>
      <c r="I19" s="26">
        <f t="shared" si="12"/>
        <v>5302</v>
      </c>
      <c r="J19" s="26">
        <f t="shared" si="12"/>
        <v>3405</v>
      </c>
      <c r="K19" s="26">
        <f t="shared" si="12"/>
        <v>1500</v>
      </c>
      <c r="L19" s="26">
        <f t="shared" si="12"/>
        <v>0</v>
      </c>
      <c r="M19" s="26">
        <f t="shared" si="12"/>
        <v>1500</v>
      </c>
      <c r="N19" s="26">
        <f t="shared" si="12"/>
        <v>4200</v>
      </c>
      <c r="O19" s="26">
        <f t="shared" si="12"/>
        <v>1500</v>
      </c>
      <c r="P19" s="26">
        <f t="shared" si="12"/>
        <v>300</v>
      </c>
      <c r="Q19" s="26">
        <f t="shared" si="12"/>
        <v>450</v>
      </c>
      <c r="R19" s="26">
        <f t="shared" si="12"/>
        <v>750</v>
      </c>
      <c r="S19" s="26">
        <f t="shared" si="12"/>
        <v>1200</v>
      </c>
      <c r="T19" s="26">
        <f t="shared" si="12"/>
        <v>1500</v>
      </c>
      <c r="V19" s="16"/>
    </row>
    <row r="20" spans="1:22" s="25" customFormat="1" ht="76.5" x14ac:dyDescent="0.25">
      <c r="A20" s="16">
        <v>1</v>
      </c>
      <c r="B20" s="34" t="s">
        <v>70</v>
      </c>
      <c r="C20" s="30" t="s">
        <v>60</v>
      </c>
      <c r="D20" s="30" t="s">
        <v>71</v>
      </c>
      <c r="E20" s="30" t="s">
        <v>49</v>
      </c>
      <c r="F20" s="30" t="s">
        <v>72</v>
      </c>
      <c r="G20" s="35">
        <v>5200</v>
      </c>
      <c r="H20" s="26"/>
      <c r="I20" s="26">
        <v>5052</v>
      </c>
      <c r="J20" s="26">
        <v>3205</v>
      </c>
      <c r="K20" s="26">
        <f>+L20+M20</f>
        <v>1450</v>
      </c>
      <c r="L20" s="26"/>
      <c r="M20" s="26">
        <v>1450</v>
      </c>
      <c r="N20" s="26">
        <f t="shared" ref="N20:N21" si="13">+O20+P20+Q20+R20+S20</f>
        <v>4060</v>
      </c>
      <c r="O20" s="26">
        <f>+M20</f>
        <v>1450</v>
      </c>
      <c r="P20" s="26">
        <f t="shared" ref="P20" si="14">+K20*20%</f>
        <v>290</v>
      </c>
      <c r="Q20" s="26">
        <f t="shared" ref="Q20" si="15">+K20*30%</f>
        <v>435</v>
      </c>
      <c r="R20" s="26">
        <f t="shared" ref="R20" si="16">+K20*50%</f>
        <v>725</v>
      </c>
      <c r="S20" s="26">
        <f t="shared" ref="S20" si="17">+K20*80%</f>
        <v>1160</v>
      </c>
      <c r="T20" s="26">
        <f t="shared" ref="T20" si="18">+K20</f>
        <v>1450</v>
      </c>
      <c r="U20" s="2" t="s">
        <v>73</v>
      </c>
      <c r="V20" s="16" t="s">
        <v>233</v>
      </c>
    </row>
    <row r="21" spans="1:22" s="25" customFormat="1" ht="38.25" x14ac:dyDescent="0.25">
      <c r="A21" s="16">
        <v>2</v>
      </c>
      <c r="B21" s="34" t="s">
        <v>74</v>
      </c>
      <c r="C21" s="30" t="s">
        <v>75</v>
      </c>
      <c r="D21" s="30" t="s">
        <v>71</v>
      </c>
      <c r="E21" s="30">
        <v>2023</v>
      </c>
      <c r="F21" s="30" t="s">
        <v>76</v>
      </c>
      <c r="G21" s="35">
        <v>250</v>
      </c>
      <c r="H21" s="26"/>
      <c r="I21" s="26">
        <v>250</v>
      </c>
      <c r="J21" s="26">
        <v>200</v>
      </c>
      <c r="K21" s="26">
        <f>+L21+M21</f>
        <v>50</v>
      </c>
      <c r="L21" s="26"/>
      <c r="M21" s="26">
        <v>50</v>
      </c>
      <c r="N21" s="26">
        <f t="shared" si="13"/>
        <v>140</v>
      </c>
      <c r="O21" s="26">
        <f>+M21</f>
        <v>50</v>
      </c>
      <c r="P21" s="26">
        <f t="shared" ref="P21" si="19">+K21*20%</f>
        <v>10</v>
      </c>
      <c r="Q21" s="26">
        <f t="shared" ref="Q21" si="20">+K21*30%</f>
        <v>15</v>
      </c>
      <c r="R21" s="26">
        <f t="shared" ref="R21" si="21">+K21*50%</f>
        <v>25</v>
      </c>
      <c r="S21" s="26">
        <f t="shared" ref="S21" si="22">+K21*80%</f>
        <v>40</v>
      </c>
      <c r="T21" s="26">
        <f t="shared" ref="T21" si="23">+K21</f>
        <v>50</v>
      </c>
      <c r="U21" s="2" t="s">
        <v>73</v>
      </c>
      <c r="V21" s="16" t="s">
        <v>233</v>
      </c>
    </row>
    <row r="22" spans="1:22" s="25" customFormat="1" ht="12.75" x14ac:dyDescent="0.25">
      <c r="A22" s="16" t="s">
        <v>29</v>
      </c>
      <c r="B22" s="34" t="s">
        <v>77</v>
      </c>
      <c r="C22" s="24"/>
      <c r="D22" s="24"/>
      <c r="E22" s="16"/>
      <c r="F22" s="24"/>
      <c r="G22" s="26">
        <f>+G23+G24+G25+G26+G27</f>
        <v>5061</v>
      </c>
      <c r="H22" s="26">
        <f t="shared" ref="H22:T22" si="24">+H23+H24+H25+H26+H27</f>
        <v>0</v>
      </c>
      <c r="I22" s="26">
        <f t="shared" si="24"/>
        <v>5003</v>
      </c>
      <c r="J22" s="26">
        <f t="shared" si="24"/>
        <v>1636</v>
      </c>
      <c r="K22" s="26">
        <f t="shared" si="24"/>
        <v>2087</v>
      </c>
      <c r="L22" s="26">
        <f t="shared" si="24"/>
        <v>0</v>
      </c>
      <c r="M22" s="26">
        <f t="shared" si="24"/>
        <v>2087</v>
      </c>
      <c r="N22" s="26">
        <f t="shared" si="24"/>
        <v>3965.3</v>
      </c>
      <c r="O22" s="26">
        <f t="shared" si="24"/>
        <v>208.70000000000002</v>
      </c>
      <c r="P22" s="26">
        <f t="shared" si="24"/>
        <v>417.40000000000003</v>
      </c>
      <c r="Q22" s="26">
        <f t="shared" si="24"/>
        <v>626.09999999999991</v>
      </c>
      <c r="R22" s="26">
        <f t="shared" si="24"/>
        <v>1043.5</v>
      </c>
      <c r="S22" s="26">
        <f t="shared" si="24"/>
        <v>1669.6000000000001</v>
      </c>
      <c r="T22" s="26">
        <f t="shared" si="24"/>
        <v>2087</v>
      </c>
      <c r="U22" s="24"/>
      <c r="V22" s="16"/>
    </row>
    <row r="23" spans="1:22" s="25" customFormat="1" ht="51" x14ac:dyDescent="0.25">
      <c r="A23" s="16">
        <v>3</v>
      </c>
      <c r="B23" s="34" t="s">
        <v>78</v>
      </c>
      <c r="C23" s="30" t="s">
        <v>79</v>
      </c>
      <c r="D23" s="30" t="s">
        <v>80</v>
      </c>
      <c r="E23" s="30">
        <v>2021</v>
      </c>
      <c r="F23" s="30" t="s">
        <v>81</v>
      </c>
      <c r="G23" s="35">
        <v>811</v>
      </c>
      <c r="H23" s="26"/>
      <c r="I23" s="26">
        <v>811</v>
      </c>
      <c r="J23" s="26">
        <v>616</v>
      </c>
      <c r="K23" s="26">
        <f>+L23+M23</f>
        <v>195</v>
      </c>
      <c r="L23" s="26"/>
      <c r="M23" s="26">
        <v>195</v>
      </c>
      <c r="N23" s="26">
        <f>+O23+P23+Q23+R23+S23</f>
        <v>370.5</v>
      </c>
      <c r="O23" s="26">
        <f t="shared" si="5"/>
        <v>19.5</v>
      </c>
      <c r="P23" s="26">
        <f t="shared" si="6"/>
        <v>39</v>
      </c>
      <c r="Q23" s="26">
        <f t="shared" si="7"/>
        <v>58.5</v>
      </c>
      <c r="R23" s="26">
        <f t="shared" si="8"/>
        <v>97.5</v>
      </c>
      <c r="S23" s="26">
        <f t="shared" si="9"/>
        <v>156</v>
      </c>
      <c r="T23" s="26">
        <f t="shared" si="10"/>
        <v>195</v>
      </c>
      <c r="U23" s="1" t="s">
        <v>45</v>
      </c>
      <c r="V23" s="16" t="s">
        <v>233</v>
      </c>
    </row>
    <row r="24" spans="1:22" s="25" customFormat="1" ht="51" x14ac:dyDescent="0.25">
      <c r="A24" s="16">
        <v>4</v>
      </c>
      <c r="B24" s="34" t="s">
        <v>82</v>
      </c>
      <c r="C24" s="30" t="s">
        <v>79</v>
      </c>
      <c r="D24" s="30" t="s">
        <v>83</v>
      </c>
      <c r="E24" s="30">
        <v>2022</v>
      </c>
      <c r="F24" s="30" t="s">
        <v>84</v>
      </c>
      <c r="G24" s="35">
        <v>950</v>
      </c>
      <c r="H24" s="26"/>
      <c r="I24" s="26">
        <v>942</v>
      </c>
      <c r="J24" s="26">
        <v>500</v>
      </c>
      <c r="K24" s="26">
        <f t="shared" ref="K24:K27" si="25">+L24+M24</f>
        <v>442</v>
      </c>
      <c r="L24" s="26"/>
      <c r="M24" s="26">
        <v>442</v>
      </c>
      <c r="N24" s="26">
        <f>+O24+P24+Q24+R24+S24</f>
        <v>839.80000000000007</v>
      </c>
      <c r="O24" s="26">
        <f t="shared" si="5"/>
        <v>44.2</v>
      </c>
      <c r="P24" s="26">
        <f t="shared" si="6"/>
        <v>88.4</v>
      </c>
      <c r="Q24" s="26">
        <f t="shared" si="7"/>
        <v>132.6</v>
      </c>
      <c r="R24" s="26">
        <f t="shared" si="8"/>
        <v>221</v>
      </c>
      <c r="S24" s="26">
        <f t="shared" si="9"/>
        <v>353.6</v>
      </c>
      <c r="T24" s="26">
        <f t="shared" si="10"/>
        <v>442</v>
      </c>
      <c r="U24" s="1" t="s">
        <v>45</v>
      </c>
      <c r="V24" s="16" t="s">
        <v>233</v>
      </c>
    </row>
    <row r="25" spans="1:22" s="25" customFormat="1" ht="51" x14ac:dyDescent="0.25">
      <c r="A25" s="16">
        <v>5</v>
      </c>
      <c r="B25" s="34" t="s">
        <v>85</v>
      </c>
      <c r="C25" s="30" t="s">
        <v>86</v>
      </c>
      <c r="D25" s="30" t="s">
        <v>87</v>
      </c>
      <c r="E25" s="30">
        <v>2022</v>
      </c>
      <c r="F25" s="30" t="s">
        <v>88</v>
      </c>
      <c r="G25" s="35">
        <v>700</v>
      </c>
      <c r="H25" s="26"/>
      <c r="I25" s="26">
        <v>671</v>
      </c>
      <c r="J25" s="26">
        <v>200</v>
      </c>
      <c r="K25" s="26">
        <f t="shared" si="25"/>
        <v>471</v>
      </c>
      <c r="L25" s="26"/>
      <c r="M25" s="26">
        <v>471</v>
      </c>
      <c r="N25" s="26">
        <f>+O25+P25+Q25+R25+S25</f>
        <v>894.90000000000009</v>
      </c>
      <c r="O25" s="26">
        <f t="shared" si="5"/>
        <v>47.1</v>
      </c>
      <c r="P25" s="26">
        <f t="shared" si="6"/>
        <v>94.2</v>
      </c>
      <c r="Q25" s="26">
        <f t="shared" si="7"/>
        <v>141.29999999999998</v>
      </c>
      <c r="R25" s="26">
        <f t="shared" si="8"/>
        <v>235.5</v>
      </c>
      <c r="S25" s="26">
        <f t="shared" si="9"/>
        <v>376.8</v>
      </c>
      <c r="T25" s="26">
        <f t="shared" si="10"/>
        <v>471</v>
      </c>
      <c r="U25" s="1" t="s">
        <v>45</v>
      </c>
      <c r="V25" s="16" t="s">
        <v>233</v>
      </c>
    </row>
    <row r="26" spans="1:22" s="25" customFormat="1" ht="51" x14ac:dyDescent="0.25">
      <c r="A26" s="16">
        <v>6</v>
      </c>
      <c r="B26" s="34" t="s">
        <v>89</v>
      </c>
      <c r="C26" s="30" t="s">
        <v>90</v>
      </c>
      <c r="D26" s="30" t="s">
        <v>91</v>
      </c>
      <c r="E26" s="30">
        <v>2022</v>
      </c>
      <c r="F26" s="30" t="s">
        <v>92</v>
      </c>
      <c r="G26" s="35">
        <v>800</v>
      </c>
      <c r="H26" s="26"/>
      <c r="I26" s="26">
        <v>779</v>
      </c>
      <c r="J26" s="26">
        <v>100</v>
      </c>
      <c r="K26" s="26">
        <f t="shared" si="25"/>
        <v>679</v>
      </c>
      <c r="L26" s="26"/>
      <c r="M26" s="26">
        <v>679</v>
      </c>
      <c r="N26" s="26">
        <f>+O26+P26+Q26+R26+S26</f>
        <v>1290.0999999999999</v>
      </c>
      <c r="O26" s="26">
        <f t="shared" si="5"/>
        <v>67.900000000000006</v>
      </c>
      <c r="P26" s="26">
        <f t="shared" si="6"/>
        <v>135.80000000000001</v>
      </c>
      <c r="Q26" s="26">
        <f t="shared" si="7"/>
        <v>203.7</v>
      </c>
      <c r="R26" s="26">
        <f t="shared" si="8"/>
        <v>339.5</v>
      </c>
      <c r="S26" s="26">
        <f t="shared" si="9"/>
        <v>543.20000000000005</v>
      </c>
      <c r="T26" s="26">
        <f t="shared" si="10"/>
        <v>679</v>
      </c>
      <c r="U26" s="1" t="s">
        <v>45</v>
      </c>
      <c r="V26" s="16" t="s">
        <v>233</v>
      </c>
    </row>
    <row r="27" spans="1:22" s="25" customFormat="1" ht="51" x14ac:dyDescent="0.25">
      <c r="A27" s="16">
        <v>8</v>
      </c>
      <c r="B27" s="34" t="s">
        <v>97</v>
      </c>
      <c r="C27" s="30" t="s">
        <v>98</v>
      </c>
      <c r="D27" s="30" t="s">
        <v>87</v>
      </c>
      <c r="E27" s="30">
        <v>2022</v>
      </c>
      <c r="F27" s="30" t="s">
        <v>99</v>
      </c>
      <c r="G27" s="35">
        <v>1800</v>
      </c>
      <c r="H27" s="26"/>
      <c r="I27" s="26">
        <v>1800</v>
      </c>
      <c r="J27" s="26">
        <v>220</v>
      </c>
      <c r="K27" s="26">
        <f t="shared" si="25"/>
        <v>300</v>
      </c>
      <c r="L27" s="26"/>
      <c r="M27" s="26">
        <v>300</v>
      </c>
      <c r="N27" s="26">
        <f>+O27+P27+Q27+R27+S27</f>
        <v>570</v>
      </c>
      <c r="O27" s="26">
        <f t="shared" si="5"/>
        <v>30</v>
      </c>
      <c r="P27" s="26">
        <f t="shared" si="6"/>
        <v>60</v>
      </c>
      <c r="Q27" s="26">
        <f t="shared" si="7"/>
        <v>90</v>
      </c>
      <c r="R27" s="26">
        <f t="shared" si="8"/>
        <v>150</v>
      </c>
      <c r="S27" s="26">
        <f t="shared" si="9"/>
        <v>240</v>
      </c>
      <c r="T27" s="26">
        <f t="shared" si="10"/>
        <v>300</v>
      </c>
      <c r="U27" s="1" t="s">
        <v>45</v>
      </c>
      <c r="V27" s="16" t="s">
        <v>233</v>
      </c>
    </row>
    <row r="28" spans="1:22" s="28" customFormat="1" ht="12.75" x14ac:dyDescent="0.25">
      <c r="A28" s="19" t="s">
        <v>111</v>
      </c>
      <c r="B28" s="20" t="s">
        <v>112</v>
      </c>
      <c r="C28" s="27"/>
      <c r="D28" s="27"/>
      <c r="E28" s="19"/>
      <c r="F28" s="27"/>
      <c r="G28" s="21">
        <f>+G29</f>
        <v>19927</v>
      </c>
      <c r="H28" s="21">
        <f t="shared" ref="H28:N28" si="26">+H29</f>
        <v>0</v>
      </c>
      <c r="I28" s="21">
        <f t="shared" si="26"/>
        <v>19041.05</v>
      </c>
      <c r="J28" s="21">
        <f t="shared" si="26"/>
        <v>12572</v>
      </c>
      <c r="K28" s="21">
        <f t="shared" si="26"/>
        <v>3950</v>
      </c>
      <c r="L28" s="21">
        <f t="shared" si="26"/>
        <v>0</v>
      </c>
      <c r="M28" s="21">
        <f t="shared" si="26"/>
        <v>3950</v>
      </c>
      <c r="N28" s="21">
        <f t="shared" si="26"/>
        <v>7505</v>
      </c>
      <c r="O28" s="21">
        <f t="shared" si="5"/>
        <v>395</v>
      </c>
      <c r="P28" s="21">
        <f t="shared" si="6"/>
        <v>790</v>
      </c>
      <c r="Q28" s="21">
        <f t="shared" si="7"/>
        <v>1185</v>
      </c>
      <c r="R28" s="21">
        <f t="shared" si="8"/>
        <v>1975</v>
      </c>
      <c r="S28" s="21">
        <f t="shared" si="9"/>
        <v>3160</v>
      </c>
      <c r="T28" s="21">
        <f t="shared" si="10"/>
        <v>3950</v>
      </c>
      <c r="U28" s="27"/>
      <c r="V28" s="19"/>
    </row>
    <row r="29" spans="1:22" s="25" customFormat="1" ht="12.75" x14ac:dyDescent="0.25">
      <c r="A29" s="16" t="s">
        <v>29</v>
      </c>
      <c r="B29" s="17" t="s">
        <v>77</v>
      </c>
      <c r="C29" s="24"/>
      <c r="D29" s="24"/>
      <c r="E29" s="16"/>
      <c r="F29" s="24"/>
      <c r="G29" s="26">
        <f>+G30+G31+G32+G33+G34+G35+G36+G37</f>
        <v>19927</v>
      </c>
      <c r="H29" s="26">
        <f t="shared" ref="H29:T29" si="27">+H30+H31+H32+H33+H34+H35+H36+H37</f>
        <v>0</v>
      </c>
      <c r="I29" s="26">
        <f t="shared" si="27"/>
        <v>19041.05</v>
      </c>
      <c r="J29" s="26">
        <f t="shared" si="27"/>
        <v>12572</v>
      </c>
      <c r="K29" s="26">
        <f t="shared" si="27"/>
        <v>3950</v>
      </c>
      <c r="L29" s="26">
        <f t="shared" si="27"/>
        <v>0</v>
      </c>
      <c r="M29" s="26">
        <f t="shared" si="27"/>
        <v>3950</v>
      </c>
      <c r="N29" s="26">
        <f t="shared" si="27"/>
        <v>7505</v>
      </c>
      <c r="O29" s="26">
        <f t="shared" si="27"/>
        <v>395</v>
      </c>
      <c r="P29" s="26">
        <f t="shared" si="27"/>
        <v>790</v>
      </c>
      <c r="Q29" s="26">
        <f t="shared" si="27"/>
        <v>1185</v>
      </c>
      <c r="R29" s="26">
        <f t="shared" si="27"/>
        <v>1975</v>
      </c>
      <c r="S29" s="26">
        <f t="shared" si="27"/>
        <v>3160</v>
      </c>
      <c r="T29" s="26">
        <f t="shared" si="27"/>
        <v>3950</v>
      </c>
      <c r="U29" s="24"/>
      <c r="V29" s="16"/>
    </row>
    <row r="30" spans="1:22" s="25" customFormat="1" ht="51" x14ac:dyDescent="0.25">
      <c r="A30" s="16">
        <v>2</v>
      </c>
      <c r="B30" s="34" t="s">
        <v>118</v>
      </c>
      <c r="C30" s="30" t="s">
        <v>79</v>
      </c>
      <c r="D30" s="30" t="s">
        <v>119</v>
      </c>
      <c r="E30" s="30">
        <v>2022</v>
      </c>
      <c r="F30" s="30" t="s">
        <v>120</v>
      </c>
      <c r="G30" s="35">
        <v>700</v>
      </c>
      <c r="H30" s="26"/>
      <c r="I30" s="26">
        <v>689</v>
      </c>
      <c r="J30" s="26">
        <v>100</v>
      </c>
      <c r="K30" s="26">
        <f t="shared" ref="K30:K37" si="28">+L30+M30</f>
        <v>589</v>
      </c>
      <c r="L30" s="26"/>
      <c r="M30" s="26">
        <v>589</v>
      </c>
      <c r="N30" s="26">
        <f t="shared" ref="N30:N37" si="29">+O30+P30+Q30+R30+S30</f>
        <v>1119.0999999999999</v>
      </c>
      <c r="O30" s="26">
        <f t="shared" si="5"/>
        <v>58.900000000000006</v>
      </c>
      <c r="P30" s="26">
        <f t="shared" si="6"/>
        <v>117.80000000000001</v>
      </c>
      <c r="Q30" s="26">
        <f t="shared" si="7"/>
        <v>176.7</v>
      </c>
      <c r="R30" s="26">
        <f t="shared" si="8"/>
        <v>294.5</v>
      </c>
      <c r="S30" s="26">
        <f t="shared" si="9"/>
        <v>471.20000000000005</v>
      </c>
      <c r="T30" s="26">
        <f t="shared" si="10"/>
        <v>589</v>
      </c>
      <c r="U30" s="1" t="s">
        <v>45</v>
      </c>
      <c r="V30" s="16" t="s">
        <v>233</v>
      </c>
    </row>
    <row r="31" spans="1:22" s="25" customFormat="1" ht="51" x14ac:dyDescent="0.25">
      <c r="A31" s="16">
        <v>3</v>
      </c>
      <c r="B31" s="34" t="s">
        <v>121</v>
      </c>
      <c r="C31" s="30" t="s">
        <v>79</v>
      </c>
      <c r="D31" s="30" t="s">
        <v>119</v>
      </c>
      <c r="E31" s="30">
        <v>2022</v>
      </c>
      <c r="F31" s="30">
        <v>0</v>
      </c>
      <c r="G31" s="35">
        <v>900</v>
      </c>
      <c r="H31" s="26"/>
      <c r="I31" s="26">
        <v>845</v>
      </c>
      <c r="J31" s="26">
        <v>100</v>
      </c>
      <c r="K31" s="26">
        <f t="shared" si="28"/>
        <v>745</v>
      </c>
      <c r="L31" s="26"/>
      <c r="M31" s="26">
        <v>745</v>
      </c>
      <c r="N31" s="26">
        <f t="shared" si="29"/>
        <v>1415.5</v>
      </c>
      <c r="O31" s="26">
        <f t="shared" si="5"/>
        <v>74.5</v>
      </c>
      <c r="P31" s="26">
        <f t="shared" si="6"/>
        <v>149</v>
      </c>
      <c r="Q31" s="26">
        <f t="shared" si="7"/>
        <v>223.5</v>
      </c>
      <c r="R31" s="26">
        <f t="shared" si="8"/>
        <v>372.5</v>
      </c>
      <c r="S31" s="26">
        <f t="shared" si="9"/>
        <v>596</v>
      </c>
      <c r="T31" s="26">
        <f t="shared" si="10"/>
        <v>745</v>
      </c>
      <c r="U31" s="1" t="s">
        <v>45</v>
      </c>
      <c r="V31" s="16" t="s">
        <v>233</v>
      </c>
    </row>
    <row r="32" spans="1:22" s="25" customFormat="1" ht="51" x14ac:dyDescent="0.25">
      <c r="A32" s="16">
        <v>4</v>
      </c>
      <c r="B32" s="34" t="s">
        <v>122</v>
      </c>
      <c r="C32" s="30" t="s">
        <v>79</v>
      </c>
      <c r="D32" s="30" t="s">
        <v>123</v>
      </c>
      <c r="E32" s="30">
        <v>2022</v>
      </c>
      <c r="F32" s="30" t="s">
        <v>124</v>
      </c>
      <c r="G32" s="35">
        <v>200</v>
      </c>
      <c r="H32" s="26"/>
      <c r="I32" s="26">
        <v>196</v>
      </c>
      <c r="J32" s="26">
        <v>100</v>
      </c>
      <c r="K32" s="26">
        <f t="shared" si="28"/>
        <v>96</v>
      </c>
      <c r="L32" s="26"/>
      <c r="M32" s="26">
        <v>96</v>
      </c>
      <c r="N32" s="26">
        <f t="shared" si="29"/>
        <v>182.4</v>
      </c>
      <c r="O32" s="26">
        <f t="shared" si="5"/>
        <v>9.6000000000000014</v>
      </c>
      <c r="P32" s="26">
        <f t="shared" si="6"/>
        <v>19.200000000000003</v>
      </c>
      <c r="Q32" s="26">
        <f t="shared" si="7"/>
        <v>28.799999999999997</v>
      </c>
      <c r="R32" s="26">
        <f t="shared" si="8"/>
        <v>48</v>
      </c>
      <c r="S32" s="26">
        <f t="shared" si="9"/>
        <v>76.800000000000011</v>
      </c>
      <c r="T32" s="26">
        <f t="shared" si="10"/>
        <v>96</v>
      </c>
      <c r="U32" s="1" t="s">
        <v>45</v>
      </c>
      <c r="V32" s="16" t="s">
        <v>233</v>
      </c>
    </row>
    <row r="33" spans="1:24" s="25" customFormat="1" ht="51" x14ac:dyDescent="0.25">
      <c r="A33" s="16">
        <v>5</v>
      </c>
      <c r="B33" s="34" t="s">
        <v>125</v>
      </c>
      <c r="C33" s="30" t="s">
        <v>79</v>
      </c>
      <c r="D33" s="30" t="s">
        <v>126</v>
      </c>
      <c r="E33" s="30">
        <v>2021</v>
      </c>
      <c r="F33" s="30" t="s">
        <v>127</v>
      </c>
      <c r="G33" s="35">
        <v>864</v>
      </c>
      <c r="H33" s="26"/>
      <c r="I33" s="26">
        <v>864</v>
      </c>
      <c r="J33" s="26">
        <v>704</v>
      </c>
      <c r="K33" s="26">
        <f t="shared" si="28"/>
        <v>160</v>
      </c>
      <c r="L33" s="26"/>
      <c r="M33" s="26">
        <v>160</v>
      </c>
      <c r="N33" s="26">
        <f t="shared" si="29"/>
        <v>304</v>
      </c>
      <c r="O33" s="26">
        <f t="shared" si="5"/>
        <v>16</v>
      </c>
      <c r="P33" s="26">
        <f t="shared" si="6"/>
        <v>32</v>
      </c>
      <c r="Q33" s="26">
        <f t="shared" si="7"/>
        <v>48</v>
      </c>
      <c r="R33" s="26">
        <f t="shared" si="8"/>
        <v>80</v>
      </c>
      <c r="S33" s="26">
        <f t="shared" si="9"/>
        <v>128</v>
      </c>
      <c r="T33" s="26">
        <f t="shared" si="10"/>
        <v>160</v>
      </c>
      <c r="U33" s="64" t="s">
        <v>218</v>
      </c>
      <c r="V33" s="16" t="s">
        <v>233</v>
      </c>
    </row>
    <row r="34" spans="1:24" s="25" customFormat="1" ht="51" x14ac:dyDescent="0.25">
      <c r="A34" s="16">
        <v>6</v>
      </c>
      <c r="B34" s="34" t="s">
        <v>54</v>
      </c>
      <c r="C34" s="30" t="s">
        <v>128</v>
      </c>
      <c r="D34" s="30" t="s">
        <v>56</v>
      </c>
      <c r="E34" s="30" t="s">
        <v>57</v>
      </c>
      <c r="F34" s="30" t="s">
        <v>58</v>
      </c>
      <c r="G34" s="35">
        <v>3074</v>
      </c>
      <c r="H34" s="26"/>
      <c r="I34" s="26">
        <v>2956</v>
      </c>
      <c r="J34" s="26">
        <v>1500</v>
      </c>
      <c r="K34" s="26">
        <f t="shared" si="28"/>
        <v>1369</v>
      </c>
      <c r="L34" s="26"/>
      <c r="M34" s="26">
        <v>1369</v>
      </c>
      <c r="N34" s="26">
        <f t="shared" si="29"/>
        <v>2601.1000000000004</v>
      </c>
      <c r="O34" s="26">
        <f t="shared" si="5"/>
        <v>136.9</v>
      </c>
      <c r="P34" s="26">
        <f t="shared" si="6"/>
        <v>273.8</v>
      </c>
      <c r="Q34" s="26">
        <f t="shared" si="7"/>
        <v>410.7</v>
      </c>
      <c r="R34" s="26">
        <f t="shared" si="8"/>
        <v>684.5</v>
      </c>
      <c r="S34" s="26">
        <f t="shared" si="9"/>
        <v>1095.2</v>
      </c>
      <c r="T34" s="26">
        <f t="shared" si="10"/>
        <v>1369</v>
      </c>
      <c r="U34" s="1" t="s">
        <v>45</v>
      </c>
      <c r="V34" s="16" t="s">
        <v>233</v>
      </c>
    </row>
    <row r="35" spans="1:24" s="25" customFormat="1" ht="51" x14ac:dyDescent="0.25">
      <c r="A35" s="16">
        <v>7</v>
      </c>
      <c r="B35" s="34" t="s">
        <v>129</v>
      </c>
      <c r="C35" s="30" t="s">
        <v>130</v>
      </c>
      <c r="D35" s="30" t="s">
        <v>48</v>
      </c>
      <c r="E35" s="30" t="s">
        <v>61</v>
      </c>
      <c r="F35" s="30" t="s">
        <v>131</v>
      </c>
      <c r="G35" s="35">
        <v>9993</v>
      </c>
      <c r="H35" s="26"/>
      <c r="I35" s="26">
        <v>9669</v>
      </c>
      <c r="J35" s="26">
        <v>9488</v>
      </c>
      <c r="K35" s="26">
        <f t="shared" si="28"/>
        <v>181</v>
      </c>
      <c r="L35" s="26"/>
      <c r="M35" s="26">
        <v>181</v>
      </c>
      <c r="N35" s="26">
        <f t="shared" si="29"/>
        <v>343.9</v>
      </c>
      <c r="O35" s="26">
        <f t="shared" si="5"/>
        <v>18.100000000000001</v>
      </c>
      <c r="P35" s="26">
        <f t="shared" si="6"/>
        <v>36.200000000000003</v>
      </c>
      <c r="Q35" s="26">
        <f t="shared" si="7"/>
        <v>54.3</v>
      </c>
      <c r="R35" s="26">
        <f t="shared" si="8"/>
        <v>90.5</v>
      </c>
      <c r="S35" s="26">
        <f t="shared" si="9"/>
        <v>144.80000000000001</v>
      </c>
      <c r="T35" s="26">
        <f t="shared" si="10"/>
        <v>181</v>
      </c>
      <c r="U35" s="1" t="s">
        <v>45</v>
      </c>
      <c r="V35" s="16" t="s">
        <v>233</v>
      </c>
    </row>
    <row r="36" spans="1:24" s="25" customFormat="1" ht="51" x14ac:dyDescent="0.25">
      <c r="A36" s="16">
        <v>8</v>
      </c>
      <c r="B36" s="34" t="s">
        <v>132</v>
      </c>
      <c r="C36" s="30" t="s">
        <v>130</v>
      </c>
      <c r="D36" s="30" t="s">
        <v>48</v>
      </c>
      <c r="E36" s="30" t="s">
        <v>61</v>
      </c>
      <c r="F36" s="30" t="s">
        <v>133</v>
      </c>
      <c r="G36" s="35">
        <v>1984</v>
      </c>
      <c r="H36" s="26"/>
      <c r="I36" s="26">
        <v>1845.8</v>
      </c>
      <c r="J36" s="26">
        <v>275</v>
      </c>
      <c r="K36" s="26">
        <f t="shared" si="28"/>
        <v>360</v>
      </c>
      <c r="L36" s="26"/>
      <c r="M36" s="26">
        <v>360</v>
      </c>
      <c r="N36" s="26">
        <f t="shared" si="29"/>
        <v>684</v>
      </c>
      <c r="O36" s="26">
        <f t="shared" si="5"/>
        <v>36</v>
      </c>
      <c r="P36" s="26">
        <f t="shared" si="6"/>
        <v>72</v>
      </c>
      <c r="Q36" s="26">
        <f t="shared" si="7"/>
        <v>108</v>
      </c>
      <c r="R36" s="26">
        <f t="shared" si="8"/>
        <v>180</v>
      </c>
      <c r="S36" s="26">
        <f t="shared" si="9"/>
        <v>288</v>
      </c>
      <c r="T36" s="26">
        <f t="shared" si="10"/>
        <v>360</v>
      </c>
      <c r="U36" s="1" t="s">
        <v>45</v>
      </c>
      <c r="V36" s="16" t="s">
        <v>233</v>
      </c>
    </row>
    <row r="37" spans="1:24" s="25" customFormat="1" ht="51" x14ac:dyDescent="0.25">
      <c r="A37" s="16">
        <v>9</v>
      </c>
      <c r="B37" s="34" t="s">
        <v>134</v>
      </c>
      <c r="C37" s="30" t="s">
        <v>98</v>
      </c>
      <c r="D37" s="30" t="s">
        <v>87</v>
      </c>
      <c r="E37" s="30" t="s">
        <v>61</v>
      </c>
      <c r="F37" s="30" t="s">
        <v>135</v>
      </c>
      <c r="G37" s="35">
        <v>2212</v>
      </c>
      <c r="H37" s="26"/>
      <c r="I37" s="26">
        <v>1976.25</v>
      </c>
      <c r="J37" s="26">
        <v>305</v>
      </c>
      <c r="K37" s="26">
        <f t="shared" si="28"/>
        <v>450</v>
      </c>
      <c r="L37" s="26"/>
      <c r="M37" s="26">
        <v>450</v>
      </c>
      <c r="N37" s="26">
        <f t="shared" si="29"/>
        <v>855</v>
      </c>
      <c r="O37" s="26">
        <f t="shared" si="5"/>
        <v>45</v>
      </c>
      <c r="P37" s="26">
        <f t="shared" si="6"/>
        <v>90</v>
      </c>
      <c r="Q37" s="26">
        <f t="shared" si="7"/>
        <v>135</v>
      </c>
      <c r="R37" s="26">
        <f t="shared" si="8"/>
        <v>225</v>
      </c>
      <c r="S37" s="26">
        <f t="shared" si="9"/>
        <v>360</v>
      </c>
      <c r="T37" s="26">
        <f t="shared" si="10"/>
        <v>450</v>
      </c>
      <c r="U37" s="1" t="s">
        <v>45</v>
      </c>
      <c r="V37" s="16" t="s">
        <v>233</v>
      </c>
    </row>
    <row r="38" spans="1:24" s="28" customFormat="1" ht="25.5" x14ac:dyDescent="0.25">
      <c r="A38" s="19" t="s">
        <v>144</v>
      </c>
      <c r="B38" s="23" t="s">
        <v>145</v>
      </c>
      <c r="C38" s="27"/>
      <c r="D38" s="27"/>
      <c r="E38" s="19"/>
      <c r="F38" s="27"/>
      <c r="G38" s="21">
        <f t="shared" ref="G38:N38" si="30">+G39+G49</f>
        <v>54509.095000000008</v>
      </c>
      <c r="H38" s="21">
        <f t="shared" si="30"/>
        <v>137</v>
      </c>
      <c r="I38" s="21">
        <f t="shared" si="30"/>
        <v>43350.095000000008</v>
      </c>
      <c r="J38" s="21">
        <f t="shared" si="30"/>
        <v>37799</v>
      </c>
      <c r="K38" s="21">
        <f t="shared" si="30"/>
        <v>15616</v>
      </c>
      <c r="L38" s="21">
        <f t="shared" si="30"/>
        <v>0</v>
      </c>
      <c r="M38" s="21">
        <f t="shared" si="30"/>
        <v>15616</v>
      </c>
      <c r="N38" s="21">
        <f t="shared" si="30"/>
        <v>30504.699999999997</v>
      </c>
      <c r="O38" s="21">
        <f t="shared" si="5"/>
        <v>1561.6000000000001</v>
      </c>
      <c r="P38" s="21">
        <f t="shared" si="6"/>
        <v>3123.2000000000003</v>
      </c>
      <c r="Q38" s="21">
        <f t="shared" si="7"/>
        <v>4684.8</v>
      </c>
      <c r="R38" s="21">
        <f t="shared" si="8"/>
        <v>7808</v>
      </c>
      <c r="S38" s="21">
        <f t="shared" si="9"/>
        <v>12492.800000000001</v>
      </c>
      <c r="T38" s="21">
        <f t="shared" si="10"/>
        <v>15616</v>
      </c>
      <c r="U38" s="27"/>
      <c r="V38" s="19"/>
    </row>
    <row r="39" spans="1:24" s="28" customFormat="1" ht="38.25" x14ac:dyDescent="0.25">
      <c r="A39" s="19" t="s">
        <v>29</v>
      </c>
      <c r="B39" s="23" t="s">
        <v>226</v>
      </c>
      <c r="C39" s="27"/>
      <c r="D39" s="27"/>
      <c r="E39" s="19"/>
      <c r="F39" s="27"/>
      <c r="G39" s="21">
        <f>+G40</f>
        <v>43526.095000000008</v>
      </c>
      <c r="H39" s="21">
        <f t="shared" ref="H39:N39" si="31">+H40</f>
        <v>137</v>
      </c>
      <c r="I39" s="21">
        <f t="shared" si="31"/>
        <v>43350.095000000008</v>
      </c>
      <c r="J39" s="21">
        <f t="shared" si="31"/>
        <v>29761</v>
      </c>
      <c r="K39" s="21">
        <f t="shared" si="31"/>
        <v>12671</v>
      </c>
      <c r="L39" s="21">
        <f t="shared" si="31"/>
        <v>0</v>
      </c>
      <c r="M39" s="21">
        <f t="shared" si="31"/>
        <v>12671</v>
      </c>
      <c r="N39" s="21">
        <f t="shared" si="31"/>
        <v>24074.899999999998</v>
      </c>
      <c r="O39" s="21">
        <f t="shared" si="5"/>
        <v>1267.1000000000001</v>
      </c>
      <c r="P39" s="21">
        <f t="shared" si="6"/>
        <v>2534.2000000000003</v>
      </c>
      <c r="Q39" s="21">
        <f t="shared" si="7"/>
        <v>3801.2999999999997</v>
      </c>
      <c r="R39" s="21">
        <f t="shared" si="8"/>
        <v>6335.5</v>
      </c>
      <c r="S39" s="21">
        <f t="shared" si="9"/>
        <v>10136.800000000001</v>
      </c>
      <c r="T39" s="21">
        <f t="shared" si="10"/>
        <v>12671</v>
      </c>
      <c r="U39" s="27"/>
      <c r="V39" s="19"/>
      <c r="X39" s="28" t="s">
        <v>237</v>
      </c>
    </row>
    <row r="40" spans="1:24" s="28" customFormat="1" ht="25.5" x14ac:dyDescent="0.25">
      <c r="A40" s="19" t="s">
        <v>146</v>
      </c>
      <c r="B40" s="23" t="s">
        <v>236</v>
      </c>
      <c r="C40" s="27"/>
      <c r="D40" s="27"/>
      <c r="E40" s="19"/>
      <c r="F40" s="27"/>
      <c r="G40" s="21">
        <f>+G41+G42+G43+G44+G45+G46+G47+G48</f>
        <v>43526.095000000008</v>
      </c>
      <c r="H40" s="21">
        <f t="shared" ref="H40:N40" si="32">+H41+H42+H43+H44+H45+H46+H47+H48</f>
        <v>137</v>
      </c>
      <c r="I40" s="21">
        <f t="shared" si="32"/>
        <v>43350.095000000008</v>
      </c>
      <c r="J40" s="21">
        <f t="shared" si="32"/>
        <v>29761</v>
      </c>
      <c r="K40" s="21">
        <f t="shared" si="32"/>
        <v>12671</v>
      </c>
      <c r="L40" s="21">
        <f t="shared" si="32"/>
        <v>0</v>
      </c>
      <c r="M40" s="21">
        <f t="shared" si="32"/>
        <v>12671</v>
      </c>
      <c r="N40" s="21">
        <f t="shared" si="32"/>
        <v>24074.899999999998</v>
      </c>
      <c r="O40" s="21">
        <f t="shared" si="5"/>
        <v>1267.1000000000001</v>
      </c>
      <c r="P40" s="21">
        <f t="shared" si="6"/>
        <v>2534.2000000000003</v>
      </c>
      <c r="Q40" s="21">
        <f t="shared" si="7"/>
        <v>3801.2999999999997</v>
      </c>
      <c r="R40" s="21">
        <f t="shared" si="8"/>
        <v>6335.5</v>
      </c>
      <c r="S40" s="21">
        <f t="shared" si="9"/>
        <v>10136.800000000001</v>
      </c>
      <c r="T40" s="21">
        <f t="shared" si="10"/>
        <v>12671</v>
      </c>
      <c r="U40" s="27"/>
      <c r="V40" s="19"/>
    </row>
    <row r="41" spans="1:24" s="25" customFormat="1" ht="63.75" x14ac:dyDescent="0.25">
      <c r="A41" s="30">
        <v>1</v>
      </c>
      <c r="B41" s="34" t="s">
        <v>148</v>
      </c>
      <c r="C41" s="30" t="s">
        <v>52</v>
      </c>
      <c r="D41" s="30" t="s">
        <v>123</v>
      </c>
      <c r="E41" s="30" t="s">
        <v>61</v>
      </c>
      <c r="F41" s="30" t="s">
        <v>149</v>
      </c>
      <c r="G41" s="26">
        <v>5307.0659999999998</v>
      </c>
      <c r="H41" s="26">
        <v>137</v>
      </c>
      <c r="I41" s="26">
        <v>5307.0659999999998</v>
      </c>
      <c r="J41" s="26">
        <v>3520</v>
      </c>
      <c r="K41" s="26">
        <f>+L41+M41</f>
        <v>1650</v>
      </c>
      <c r="L41" s="26"/>
      <c r="M41" s="26">
        <v>1650</v>
      </c>
      <c r="N41" s="26">
        <f t="shared" ref="N41:N48" si="33">+O41+P41+Q41+R41+S41</f>
        <v>3135</v>
      </c>
      <c r="O41" s="26">
        <f t="shared" si="5"/>
        <v>165</v>
      </c>
      <c r="P41" s="26">
        <f t="shared" si="6"/>
        <v>330</v>
      </c>
      <c r="Q41" s="26">
        <f t="shared" si="7"/>
        <v>495</v>
      </c>
      <c r="R41" s="26">
        <f t="shared" si="8"/>
        <v>825</v>
      </c>
      <c r="S41" s="26">
        <f t="shared" si="9"/>
        <v>1320</v>
      </c>
      <c r="T41" s="26">
        <f t="shared" si="10"/>
        <v>1650</v>
      </c>
      <c r="U41" s="1" t="s">
        <v>45</v>
      </c>
      <c r="V41" s="16" t="s">
        <v>233</v>
      </c>
    </row>
    <row r="42" spans="1:24" s="25" customFormat="1" ht="63.75" x14ac:dyDescent="0.25">
      <c r="A42" s="30">
        <v>2</v>
      </c>
      <c r="B42" s="34" t="s">
        <v>150</v>
      </c>
      <c r="C42" s="30" t="s">
        <v>52</v>
      </c>
      <c r="D42" s="30" t="s">
        <v>123</v>
      </c>
      <c r="E42" s="30" t="s">
        <v>61</v>
      </c>
      <c r="F42" s="30" t="s">
        <v>151</v>
      </c>
      <c r="G42" s="26">
        <v>7862.4930000000004</v>
      </c>
      <c r="H42" s="26"/>
      <c r="I42" s="26">
        <v>7862.4930000000004</v>
      </c>
      <c r="J42" s="26">
        <v>5120</v>
      </c>
      <c r="K42" s="26">
        <f t="shared" ref="K42:K48" si="34">+L42+M42</f>
        <v>2515</v>
      </c>
      <c r="L42" s="26"/>
      <c r="M42" s="26">
        <v>2515</v>
      </c>
      <c r="N42" s="26">
        <f t="shared" si="33"/>
        <v>4778.5</v>
      </c>
      <c r="O42" s="26">
        <f t="shared" si="5"/>
        <v>251.5</v>
      </c>
      <c r="P42" s="26">
        <f t="shared" si="6"/>
        <v>503</v>
      </c>
      <c r="Q42" s="26">
        <f t="shared" si="7"/>
        <v>754.5</v>
      </c>
      <c r="R42" s="26">
        <f t="shared" si="8"/>
        <v>1257.5</v>
      </c>
      <c r="S42" s="26">
        <f t="shared" si="9"/>
        <v>2012</v>
      </c>
      <c r="T42" s="26">
        <f t="shared" si="10"/>
        <v>2515</v>
      </c>
      <c r="U42" s="1" t="s">
        <v>45</v>
      </c>
      <c r="V42" s="16" t="s">
        <v>233</v>
      </c>
    </row>
    <row r="43" spans="1:24" s="25" customFormat="1" ht="63.75" x14ac:dyDescent="0.25">
      <c r="A43" s="30">
        <v>3</v>
      </c>
      <c r="B43" s="34" t="s">
        <v>152</v>
      </c>
      <c r="C43" s="30" t="s">
        <v>52</v>
      </c>
      <c r="D43" s="30" t="s">
        <v>123</v>
      </c>
      <c r="E43" s="30" t="s">
        <v>61</v>
      </c>
      <c r="F43" s="30" t="s">
        <v>153</v>
      </c>
      <c r="G43" s="26">
        <v>7580</v>
      </c>
      <c r="H43" s="26"/>
      <c r="I43" s="26">
        <v>7580</v>
      </c>
      <c r="J43" s="26">
        <v>4750</v>
      </c>
      <c r="K43" s="26">
        <f t="shared" si="34"/>
        <v>2615</v>
      </c>
      <c r="L43" s="26"/>
      <c r="M43" s="26">
        <v>2615</v>
      </c>
      <c r="N43" s="26">
        <f t="shared" si="33"/>
        <v>4968.5</v>
      </c>
      <c r="O43" s="26">
        <f t="shared" si="5"/>
        <v>261.5</v>
      </c>
      <c r="P43" s="26">
        <f t="shared" si="6"/>
        <v>523</v>
      </c>
      <c r="Q43" s="26">
        <f t="shared" si="7"/>
        <v>784.5</v>
      </c>
      <c r="R43" s="26">
        <f t="shared" si="8"/>
        <v>1307.5</v>
      </c>
      <c r="S43" s="26">
        <f t="shared" si="9"/>
        <v>2092</v>
      </c>
      <c r="T43" s="26">
        <f t="shared" si="10"/>
        <v>2615</v>
      </c>
      <c r="U43" s="1" t="s">
        <v>45</v>
      </c>
      <c r="V43" s="16" t="s">
        <v>233</v>
      </c>
    </row>
    <row r="44" spans="1:24" s="25" customFormat="1" ht="63.75" x14ac:dyDescent="0.25">
      <c r="A44" s="30">
        <v>4</v>
      </c>
      <c r="B44" s="34" t="s">
        <v>154</v>
      </c>
      <c r="C44" s="30" t="s">
        <v>52</v>
      </c>
      <c r="D44" s="30" t="s">
        <v>123</v>
      </c>
      <c r="E44" s="30" t="s">
        <v>61</v>
      </c>
      <c r="F44" s="30" t="s">
        <v>155</v>
      </c>
      <c r="G44" s="26">
        <v>6624.9350000000004</v>
      </c>
      <c r="H44" s="26"/>
      <c r="I44" s="26">
        <v>6624.9350000000004</v>
      </c>
      <c r="J44" s="26">
        <v>4475</v>
      </c>
      <c r="K44" s="26">
        <f t="shared" si="34"/>
        <v>2007</v>
      </c>
      <c r="L44" s="26"/>
      <c r="M44" s="26">
        <v>2007</v>
      </c>
      <c r="N44" s="26">
        <f t="shared" si="33"/>
        <v>3813.3</v>
      </c>
      <c r="O44" s="26">
        <f t="shared" si="5"/>
        <v>200.70000000000002</v>
      </c>
      <c r="P44" s="26">
        <f t="shared" si="6"/>
        <v>401.40000000000003</v>
      </c>
      <c r="Q44" s="26">
        <f t="shared" si="7"/>
        <v>602.1</v>
      </c>
      <c r="R44" s="26">
        <f t="shared" si="8"/>
        <v>1003.5</v>
      </c>
      <c r="S44" s="26">
        <f t="shared" si="9"/>
        <v>1605.6000000000001</v>
      </c>
      <c r="T44" s="26">
        <f t="shared" si="10"/>
        <v>2007</v>
      </c>
      <c r="U44" s="1" t="s">
        <v>45</v>
      </c>
      <c r="V44" s="16" t="s">
        <v>233</v>
      </c>
    </row>
    <row r="45" spans="1:24" s="25" customFormat="1" ht="63.75" x14ac:dyDescent="0.25">
      <c r="A45" s="30">
        <v>5</v>
      </c>
      <c r="B45" s="34" t="s">
        <v>156</v>
      </c>
      <c r="C45" s="30" t="s">
        <v>52</v>
      </c>
      <c r="D45" s="30" t="s">
        <v>123</v>
      </c>
      <c r="E45" s="30" t="s">
        <v>61</v>
      </c>
      <c r="F45" s="30" t="s">
        <v>157</v>
      </c>
      <c r="G45" s="26">
        <v>4000</v>
      </c>
      <c r="H45" s="26"/>
      <c r="I45" s="26">
        <v>4000</v>
      </c>
      <c r="J45" s="26">
        <v>2620</v>
      </c>
      <c r="K45" s="26">
        <f t="shared" si="34"/>
        <v>1258</v>
      </c>
      <c r="L45" s="26"/>
      <c r="M45" s="26">
        <v>1258</v>
      </c>
      <c r="N45" s="26">
        <f t="shared" si="33"/>
        <v>2390.1999999999998</v>
      </c>
      <c r="O45" s="26">
        <f t="shared" si="5"/>
        <v>125.80000000000001</v>
      </c>
      <c r="P45" s="26">
        <f t="shared" si="6"/>
        <v>251.60000000000002</v>
      </c>
      <c r="Q45" s="26">
        <f t="shared" si="7"/>
        <v>377.4</v>
      </c>
      <c r="R45" s="26">
        <f t="shared" si="8"/>
        <v>629</v>
      </c>
      <c r="S45" s="26">
        <f t="shared" si="9"/>
        <v>1006.4000000000001</v>
      </c>
      <c r="T45" s="26">
        <f t="shared" si="10"/>
        <v>1258</v>
      </c>
      <c r="U45" s="1" t="s">
        <v>45</v>
      </c>
      <c r="V45" s="16" t="s">
        <v>233</v>
      </c>
    </row>
    <row r="46" spans="1:24" s="25" customFormat="1" ht="63.75" x14ac:dyDescent="0.25">
      <c r="A46" s="30">
        <v>6</v>
      </c>
      <c r="B46" s="34" t="s">
        <v>158</v>
      </c>
      <c r="C46" s="30" t="s">
        <v>52</v>
      </c>
      <c r="D46" s="30" t="s">
        <v>214</v>
      </c>
      <c r="E46" s="30" t="s">
        <v>61</v>
      </c>
      <c r="F46" s="30" t="s">
        <v>159</v>
      </c>
      <c r="G46" s="26">
        <v>2700</v>
      </c>
      <c r="H46" s="26"/>
      <c r="I46" s="26">
        <v>2700</v>
      </c>
      <c r="J46" s="26">
        <v>1770</v>
      </c>
      <c r="K46" s="26">
        <f t="shared" si="34"/>
        <v>850</v>
      </c>
      <c r="L46" s="26"/>
      <c r="M46" s="26">
        <v>850</v>
      </c>
      <c r="N46" s="26">
        <f t="shared" si="33"/>
        <v>1615</v>
      </c>
      <c r="O46" s="26">
        <f t="shared" si="5"/>
        <v>85</v>
      </c>
      <c r="P46" s="26">
        <f t="shared" si="6"/>
        <v>170</v>
      </c>
      <c r="Q46" s="26">
        <f t="shared" si="7"/>
        <v>255</v>
      </c>
      <c r="R46" s="26">
        <f t="shared" si="8"/>
        <v>425</v>
      </c>
      <c r="S46" s="26">
        <f t="shared" si="9"/>
        <v>680</v>
      </c>
      <c r="T46" s="26">
        <f t="shared" si="10"/>
        <v>850</v>
      </c>
      <c r="U46" s="1" t="s">
        <v>45</v>
      </c>
      <c r="V46" s="16" t="s">
        <v>233</v>
      </c>
    </row>
    <row r="47" spans="1:24" s="25" customFormat="1" ht="51" x14ac:dyDescent="0.25">
      <c r="A47" s="30">
        <v>7</v>
      </c>
      <c r="B47" s="34" t="s">
        <v>160</v>
      </c>
      <c r="C47" s="30" t="s">
        <v>52</v>
      </c>
      <c r="D47" s="30" t="s">
        <v>214</v>
      </c>
      <c r="E47" s="30" t="s">
        <v>61</v>
      </c>
      <c r="F47" s="30" t="s">
        <v>161</v>
      </c>
      <c r="G47" s="26">
        <v>4173.6009999999997</v>
      </c>
      <c r="H47" s="26"/>
      <c r="I47" s="26">
        <v>4173.6009999999997</v>
      </c>
      <c r="J47" s="26">
        <v>2640</v>
      </c>
      <c r="K47" s="26">
        <f t="shared" si="34"/>
        <v>1414</v>
      </c>
      <c r="L47" s="26"/>
      <c r="M47" s="26">
        <v>1414</v>
      </c>
      <c r="N47" s="26">
        <f t="shared" si="33"/>
        <v>2686.6000000000004</v>
      </c>
      <c r="O47" s="26">
        <f t="shared" si="5"/>
        <v>141.4</v>
      </c>
      <c r="P47" s="26">
        <f t="shared" si="6"/>
        <v>282.8</v>
      </c>
      <c r="Q47" s="26">
        <f t="shared" si="7"/>
        <v>424.2</v>
      </c>
      <c r="R47" s="26">
        <f t="shared" si="8"/>
        <v>707</v>
      </c>
      <c r="S47" s="26">
        <f t="shared" si="9"/>
        <v>1131.2</v>
      </c>
      <c r="T47" s="26">
        <f t="shared" si="10"/>
        <v>1414</v>
      </c>
      <c r="U47" s="1" t="s">
        <v>45</v>
      </c>
      <c r="V47" s="16" t="s">
        <v>233</v>
      </c>
    </row>
    <row r="48" spans="1:24" s="25" customFormat="1" ht="63.75" x14ac:dyDescent="0.25">
      <c r="A48" s="30">
        <v>8</v>
      </c>
      <c r="B48" s="34" t="s">
        <v>162</v>
      </c>
      <c r="C48" s="30" t="s">
        <v>163</v>
      </c>
      <c r="D48" s="30" t="s">
        <v>123</v>
      </c>
      <c r="E48" s="30" t="s">
        <v>61</v>
      </c>
      <c r="F48" s="30" t="s">
        <v>164</v>
      </c>
      <c r="G48" s="35">
        <v>5278</v>
      </c>
      <c r="H48" s="26"/>
      <c r="I48" s="26">
        <v>5102</v>
      </c>
      <c r="J48" s="26">
        <v>4866</v>
      </c>
      <c r="K48" s="26">
        <f t="shared" si="34"/>
        <v>362</v>
      </c>
      <c r="L48" s="26"/>
      <c r="M48" s="26">
        <v>362</v>
      </c>
      <c r="N48" s="26">
        <f t="shared" si="33"/>
        <v>687.8</v>
      </c>
      <c r="O48" s="26">
        <f t="shared" si="5"/>
        <v>36.200000000000003</v>
      </c>
      <c r="P48" s="26">
        <f t="shared" si="6"/>
        <v>72.400000000000006</v>
      </c>
      <c r="Q48" s="26">
        <f t="shared" si="7"/>
        <v>108.6</v>
      </c>
      <c r="R48" s="26">
        <f t="shared" si="8"/>
        <v>181</v>
      </c>
      <c r="S48" s="26">
        <f t="shared" si="9"/>
        <v>289.60000000000002</v>
      </c>
      <c r="T48" s="26">
        <f t="shared" si="10"/>
        <v>362</v>
      </c>
      <c r="U48" s="1" t="s">
        <v>45</v>
      </c>
      <c r="V48" s="16" t="s">
        <v>233</v>
      </c>
    </row>
    <row r="49" spans="1:28" s="28" customFormat="1" ht="38.25" x14ac:dyDescent="0.25">
      <c r="A49" s="19" t="s">
        <v>29</v>
      </c>
      <c r="B49" s="23" t="s">
        <v>227</v>
      </c>
      <c r="C49" s="27"/>
      <c r="D49" s="27"/>
      <c r="E49" s="19"/>
      <c r="F49" s="27"/>
      <c r="G49" s="21">
        <f>+G54+G50</f>
        <v>10983</v>
      </c>
      <c r="H49" s="21">
        <f t="shared" ref="H49:T49" si="35">+H54+H50</f>
        <v>0</v>
      </c>
      <c r="I49" s="21">
        <f t="shared" si="35"/>
        <v>0</v>
      </c>
      <c r="J49" s="21">
        <f t="shared" si="35"/>
        <v>8038</v>
      </c>
      <c r="K49" s="21">
        <f t="shared" si="35"/>
        <v>2945</v>
      </c>
      <c r="L49" s="21">
        <f t="shared" si="35"/>
        <v>0</v>
      </c>
      <c r="M49" s="21">
        <f t="shared" si="35"/>
        <v>2945</v>
      </c>
      <c r="N49" s="21">
        <f t="shared" si="35"/>
        <v>6429.8000000000011</v>
      </c>
      <c r="O49" s="21">
        <f t="shared" si="35"/>
        <v>1128.8</v>
      </c>
      <c r="P49" s="21">
        <f t="shared" si="35"/>
        <v>589</v>
      </c>
      <c r="Q49" s="21">
        <f t="shared" si="35"/>
        <v>883.5</v>
      </c>
      <c r="R49" s="21">
        <f t="shared" si="35"/>
        <v>1472.5</v>
      </c>
      <c r="S49" s="21">
        <f t="shared" si="35"/>
        <v>2356</v>
      </c>
      <c r="T49" s="21">
        <f t="shared" si="35"/>
        <v>2945</v>
      </c>
      <c r="U49" s="27"/>
      <c r="V49" s="19"/>
    </row>
    <row r="50" spans="1:28" s="28" customFormat="1" ht="63.75" x14ac:dyDescent="0.25">
      <c r="A50" s="19" t="s">
        <v>146</v>
      </c>
      <c r="B50" s="23" t="s">
        <v>183</v>
      </c>
      <c r="C50" s="27"/>
      <c r="D50" s="27"/>
      <c r="E50" s="14"/>
      <c r="F50" s="27"/>
      <c r="G50" s="21">
        <f>+G51</f>
        <v>2983</v>
      </c>
      <c r="H50" s="21">
        <f t="shared" ref="H50:T50" si="36">+H51</f>
        <v>0</v>
      </c>
      <c r="I50" s="21">
        <f t="shared" si="36"/>
        <v>0</v>
      </c>
      <c r="J50" s="21">
        <f t="shared" si="36"/>
        <v>2056</v>
      </c>
      <c r="K50" s="21">
        <f t="shared" si="36"/>
        <v>927</v>
      </c>
      <c r="L50" s="21">
        <f t="shared" si="36"/>
        <v>0</v>
      </c>
      <c r="M50" s="21">
        <f t="shared" si="36"/>
        <v>927</v>
      </c>
      <c r="N50" s="21">
        <f t="shared" si="36"/>
        <v>2595.6000000000004</v>
      </c>
      <c r="O50" s="21">
        <f t="shared" si="36"/>
        <v>927</v>
      </c>
      <c r="P50" s="21">
        <f t="shared" si="36"/>
        <v>185.40000000000003</v>
      </c>
      <c r="Q50" s="21">
        <f t="shared" si="36"/>
        <v>278.09999999999997</v>
      </c>
      <c r="R50" s="21">
        <f t="shared" si="36"/>
        <v>463.5</v>
      </c>
      <c r="S50" s="21">
        <f t="shared" si="36"/>
        <v>741.60000000000014</v>
      </c>
      <c r="T50" s="21">
        <f t="shared" si="36"/>
        <v>927</v>
      </c>
      <c r="U50" s="1"/>
      <c r="V50" s="37"/>
      <c r="W50" s="37"/>
      <c r="X50" s="37"/>
      <c r="Y50" s="37"/>
      <c r="Z50" s="37"/>
      <c r="AA50" s="27"/>
      <c r="AB50" s="19"/>
    </row>
    <row r="51" spans="1:28" s="25" customFormat="1" ht="12.75" x14ac:dyDescent="0.25">
      <c r="A51" s="16" t="s">
        <v>147</v>
      </c>
      <c r="B51" s="17" t="s">
        <v>199</v>
      </c>
      <c r="C51" s="16"/>
      <c r="D51" s="24"/>
      <c r="E51" s="30"/>
      <c r="F51" s="24"/>
      <c r="G51" s="26">
        <f>+G52+G53</f>
        <v>2983</v>
      </c>
      <c r="H51" s="26">
        <f t="shared" ref="H51:T51" si="37">+H52+H53</f>
        <v>0</v>
      </c>
      <c r="I51" s="26">
        <f t="shared" si="37"/>
        <v>0</v>
      </c>
      <c r="J51" s="26">
        <f t="shared" si="37"/>
        <v>2056</v>
      </c>
      <c r="K51" s="26">
        <f t="shared" si="37"/>
        <v>927</v>
      </c>
      <c r="L51" s="26">
        <f t="shared" si="37"/>
        <v>0</v>
      </c>
      <c r="M51" s="26">
        <f t="shared" si="37"/>
        <v>927</v>
      </c>
      <c r="N51" s="26">
        <f t="shared" si="37"/>
        <v>2595.6000000000004</v>
      </c>
      <c r="O51" s="26">
        <f t="shared" si="37"/>
        <v>927</v>
      </c>
      <c r="P51" s="26">
        <f t="shared" si="37"/>
        <v>185.40000000000003</v>
      </c>
      <c r="Q51" s="26">
        <f t="shared" si="37"/>
        <v>278.09999999999997</v>
      </c>
      <c r="R51" s="26">
        <f t="shared" si="37"/>
        <v>463.5</v>
      </c>
      <c r="S51" s="26">
        <f t="shared" si="37"/>
        <v>741.60000000000014</v>
      </c>
      <c r="T51" s="26">
        <f t="shared" si="37"/>
        <v>927</v>
      </c>
      <c r="U51" s="65"/>
      <c r="V51" s="65"/>
      <c r="W51" s="65"/>
      <c r="X51" s="65"/>
      <c r="Y51" s="65"/>
      <c r="Z51" s="65"/>
      <c r="AA51" s="24"/>
      <c r="AB51" s="16"/>
    </row>
    <row r="52" spans="1:28" s="25" customFormat="1" ht="51" x14ac:dyDescent="0.25">
      <c r="A52" s="16">
        <v>1</v>
      </c>
      <c r="B52" s="34" t="s">
        <v>203</v>
      </c>
      <c r="C52" s="30" t="s">
        <v>204</v>
      </c>
      <c r="D52" s="30" t="s">
        <v>214</v>
      </c>
      <c r="E52" s="30" t="s">
        <v>61</v>
      </c>
      <c r="F52" s="24"/>
      <c r="G52" s="26">
        <v>2332</v>
      </c>
      <c r="H52" s="26"/>
      <c r="I52" s="26"/>
      <c r="J52" s="26">
        <v>2056</v>
      </c>
      <c r="K52" s="26">
        <f t="shared" ref="K52:K53" si="38">+L52+M52</f>
        <v>276</v>
      </c>
      <c r="L52" s="26"/>
      <c r="M52" s="26">
        <v>276</v>
      </c>
      <c r="N52" s="26">
        <f t="shared" ref="N52:N53" si="39">+O52+P52+Q52+R52+S52</f>
        <v>772.8</v>
      </c>
      <c r="O52" s="26">
        <f>+K52</f>
        <v>276</v>
      </c>
      <c r="P52" s="26">
        <f t="shared" ref="P52" si="40">+K52*20%</f>
        <v>55.2</v>
      </c>
      <c r="Q52" s="26">
        <f t="shared" ref="Q52" si="41">+K52*30%</f>
        <v>82.8</v>
      </c>
      <c r="R52" s="26">
        <f t="shared" ref="R52" si="42">+K52*50%</f>
        <v>138</v>
      </c>
      <c r="S52" s="26">
        <f t="shared" ref="S52" si="43">+K52*80%</f>
        <v>220.8</v>
      </c>
      <c r="T52" s="26">
        <f t="shared" ref="T52" si="44">+K52</f>
        <v>276</v>
      </c>
      <c r="U52" s="1" t="s">
        <v>45</v>
      </c>
      <c r="V52" s="16" t="s">
        <v>233</v>
      </c>
      <c r="W52" s="65"/>
      <c r="X52" s="65"/>
      <c r="Y52" s="65"/>
      <c r="Z52" s="65"/>
      <c r="AA52" s="30" t="s">
        <v>45</v>
      </c>
      <c r="AB52" s="16" t="s">
        <v>233</v>
      </c>
    </row>
    <row r="53" spans="1:28" s="25" customFormat="1" ht="51" x14ac:dyDescent="0.25">
      <c r="A53" s="16">
        <v>2</v>
      </c>
      <c r="B53" s="34" t="s">
        <v>206</v>
      </c>
      <c r="C53" s="30" t="s">
        <v>86</v>
      </c>
      <c r="D53" s="30" t="s">
        <v>214</v>
      </c>
      <c r="E53" s="30" t="s">
        <v>139</v>
      </c>
      <c r="F53" s="24"/>
      <c r="G53" s="26">
        <v>651</v>
      </c>
      <c r="H53" s="26"/>
      <c r="I53" s="26"/>
      <c r="J53" s="26"/>
      <c r="K53" s="26">
        <f t="shared" si="38"/>
        <v>651</v>
      </c>
      <c r="L53" s="26"/>
      <c r="M53" s="26">
        <v>651</v>
      </c>
      <c r="N53" s="26">
        <f t="shared" si="39"/>
        <v>1822.8000000000002</v>
      </c>
      <c r="O53" s="26">
        <f>+K53</f>
        <v>651</v>
      </c>
      <c r="P53" s="26">
        <f t="shared" ref="P53" si="45">+K53*20%</f>
        <v>130.20000000000002</v>
      </c>
      <c r="Q53" s="26">
        <f t="shared" ref="Q53" si="46">+K53*30%</f>
        <v>195.29999999999998</v>
      </c>
      <c r="R53" s="26">
        <f t="shared" ref="R53" si="47">+K53*50%</f>
        <v>325.5</v>
      </c>
      <c r="S53" s="26">
        <f t="shared" ref="S53" si="48">+K53*80%</f>
        <v>520.80000000000007</v>
      </c>
      <c r="T53" s="26">
        <f t="shared" ref="T53" si="49">+K53</f>
        <v>651</v>
      </c>
      <c r="U53" s="1" t="s">
        <v>45</v>
      </c>
      <c r="V53" s="16" t="s">
        <v>233</v>
      </c>
      <c r="W53" s="65"/>
      <c r="X53" s="65"/>
      <c r="Y53" s="65"/>
      <c r="Z53" s="65"/>
      <c r="AA53" s="30" t="s">
        <v>224</v>
      </c>
      <c r="AB53" s="16" t="s">
        <v>233</v>
      </c>
    </row>
    <row r="54" spans="1:28" s="28" customFormat="1" ht="25.5" x14ac:dyDescent="0.25">
      <c r="A54" s="19" t="s">
        <v>146</v>
      </c>
      <c r="B54" s="23" t="s">
        <v>208</v>
      </c>
      <c r="C54" s="19"/>
      <c r="D54" s="27"/>
      <c r="E54" s="14"/>
      <c r="F54" s="27"/>
      <c r="G54" s="21">
        <f>+G55</f>
        <v>8000</v>
      </c>
      <c r="H54" s="21">
        <f t="shared" ref="H54:N54" si="50">+H55</f>
        <v>0</v>
      </c>
      <c r="I54" s="21">
        <f t="shared" si="50"/>
        <v>0</v>
      </c>
      <c r="J54" s="21">
        <f t="shared" si="50"/>
        <v>5982</v>
      </c>
      <c r="K54" s="21">
        <f t="shared" si="50"/>
        <v>2018</v>
      </c>
      <c r="L54" s="21">
        <f t="shared" si="50"/>
        <v>0</v>
      </c>
      <c r="M54" s="21">
        <f t="shared" si="50"/>
        <v>2018</v>
      </c>
      <c r="N54" s="21">
        <f t="shared" si="50"/>
        <v>3834.2000000000003</v>
      </c>
      <c r="O54" s="21">
        <f t="shared" si="5"/>
        <v>201.8</v>
      </c>
      <c r="P54" s="21">
        <f t="shared" si="6"/>
        <v>403.6</v>
      </c>
      <c r="Q54" s="21">
        <f t="shared" si="7"/>
        <v>605.4</v>
      </c>
      <c r="R54" s="21">
        <f t="shared" si="8"/>
        <v>1009</v>
      </c>
      <c r="S54" s="21">
        <f t="shared" si="9"/>
        <v>1614.4</v>
      </c>
      <c r="T54" s="21">
        <f t="shared" si="10"/>
        <v>2018</v>
      </c>
      <c r="U54" s="27"/>
      <c r="V54" s="19"/>
    </row>
    <row r="55" spans="1:28" s="25" customFormat="1" ht="51" x14ac:dyDescent="0.25">
      <c r="A55" s="16">
        <v>1</v>
      </c>
      <c r="B55" s="34" t="s">
        <v>209</v>
      </c>
      <c r="C55" s="30" t="s">
        <v>108</v>
      </c>
      <c r="D55" s="24" t="s">
        <v>123</v>
      </c>
      <c r="E55" s="30" t="s">
        <v>139</v>
      </c>
      <c r="F55" s="24"/>
      <c r="G55" s="26">
        <v>8000</v>
      </c>
      <c r="H55" s="26"/>
      <c r="I55" s="26"/>
      <c r="J55" s="26">
        <v>5982</v>
      </c>
      <c r="K55" s="26">
        <f t="shared" ref="K55" si="51">+L55+M55</f>
        <v>2018</v>
      </c>
      <c r="L55" s="26"/>
      <c r="M55" s="26">
        <v>2018</v>
      </c>
      <c r="N55" s="26">
        <f>+O55+P55+Q55+R55+S55</f>
        <v>3834.2000000000003</v>
      </c>
      <c r="O55" s="26">
        <f t="shared" si="5"/>
        <v>201.8</v>
      </c>
      <c r="P55" s="26">
        <f t="shared" si="6"/>
        <v>403.6</v>
      </c>
      <c r="Q55" s="26">
        <f t="shared" si="7"/>
        <v>605.4</v>
      </c>
      <c r="R55" s="26">
        <f t="shared" si="8"/>
        <v>1009</v>
      </c>
      <c r="S55" s="26">
        <f t="shared" si="9"/>
        <v>1614.4</v>
      </c>
      <c r="T55" s="26">
        <f t="shared" si="10"/>
        <v>2018</v>
      </c>
      <c r="U55" s="30" t="s">
        <v>45</v>
      </c>
      <c r="V55" s="16" t="s">
        <v>233</v>
      </c>
    </row>
    <row r="56" spans="1:28" s="25" customFormat="1" ht="12.75" x14ac:dyDescent="0.25">
      <c r="A56" s="36" t="s">
        <v>311</v>
      </c>
      <c r="B56" s="36" t="s">
        <v>322</v>
      </c>
      <c r="C56" s="30"/>
      <c r="D56" s="24"/>
      <c r="E56" s="30"/>
      <c r="F56" s="37">
        <f t="shared" ref="F56:O56" si="52">F57+F69</f>
        <v>0</v>
      </c>
      <c r="G56" s="38">
        <f t="shared" si="52"/>
        <v>14049.201000000001</v>
      </c>
      <c r="H56" s="38">
        <f t="shared" si="52"/>
        <v>0</v>
      </c>
      <c r="I56" s="38">
        <f t="shared" si="52"/>
        <v>0</v>
      </c>
      <c r="J56" s="38">
        <f t="shared" si="52"/>
        <v>0</v>
      </c>
      <c r="K56" s="38">
        <f t="shared" si="52"/>
        <v>2315.9540000000002</v>
      </c>
      <c r="L56" s="38">
        <f t="shared" si="52"/>
        <v>2315.9540000000002</v>
      </c>
      <c r="M56" s="38">
        <f t="shared" si="52"/>
        <v>0</v>
      </c>
      <c r="N56" s="38">
        <f t="shared" si="52"/>
        <v>2315.9540000000002</v>
      </c>
      <c r="O56" s="38">
        <f t="shared" si="52"/>
        <v>2315.9540000000002</v>
      </c>
      <c r="P56" s="38">
        <f t="shared" ref="P56:T56" si="53">P57+P69</f>
        <v>0</v>
      </c>
      <c r="Q56" s="38">
        <f t="shared" si="53"/>
        <v>0</v>
      </c>
      <c r="R56" s="38">
        <f t="shared" si="53"/>
        <v>0</v>
      </c>
      <c r="S56" s="38">
        <f t="shared" si="53"/>
        <v>0</v>
      </c>
      <c r="T56" s="38">
        <f t="shared" si="53"/>
        <v>2315.9540000000002</v>
      </c>
      <c r="U56" s="30"/>
      <c r="V56" s="16"/>
    </row>
    <row r="57" spans="1:28" s="25" customFormat="1" ht="38.25" x14ac:dyDescent="0.25">
      <c r="A57" s="39" t="s">
        <v>33</v>
      </c>
      <c r="B57" s="39" t="s">
        <v>312</v>
      </c>
      <c r="C57" s="30"/>
      <c r="D57" s="24"/>
      <c r="E57" s="30"/>
      <c r="F57" s="41">
        <f t="shared" ref="F57:K57" si="54">F58</f>
        <v>0</v>
      </c>
      <c r="G57" s="42">
        <f t="shared" si="54"/>
        <v>0</v>
      </c>
      <c r="H57" s="42">
        <f t="shared" si="54"/>
        <v>0</v>
      </c>
      <c r="I57" s="42">
        <f t="shared" si="54"/>
        <v>0</v>
      </c>
      <c r="J57" s="42">
        <f t="shared" si="54"/>
        <v>0</v>
      </c>
      <c r="K57" s="42">
        <f t="shared" si="54"/>
        <v>95.312000000000012</v>
      </c>
      <c r="L57" s="42">
        <f>L58</f>
        <v>95.312000000000012</v>
      </c>
      <c r="M57" s="42">
        <f t="shared" ref="M57:T57" si="55">M58</f>
        <v>0</v>
      </c>
      <c r="N57" s="42">
        <f t="shared" si="55"/>
        <v>95.312000000000012</v>
      </c>
      <c r="O57" s="42">
        <f t="shared" si="55"/>
        <v>95.312000000000012</v>
      </c>
      <c r="P57" s="42">
        <f t="shared" si="55"/>
        <v>0</v>
      </c>
      <c r="Q57" s="42">
        <f t="shared" si="55"/>
        <v>0</v>
      </c>
      <c r="R57" s="42">
        <f t="shared" si="55"/>
        <v>0</v>
      </c>
      <c r="S57" s="42">
        <f t="shared" si="55"/>
        <v>0</v>
      </c>
      <c r="T57" s="42">
        <f t="shared" si="55"/>
        <v>95.312000000000012</v>
      </c>
      <c r="U57" s="30"/>
      <c r="V57" s="16"/>
    </row>
    <row r="58" spans="1:28" s="25" customFormat="1" ht="12.75" x14ac:dyDescent="0.25">
      <c r="A58" s="36"/>
      <c r="B58" s="36" t="s">
        <v>313</v>
      </c>
      <c r="C58" s="30"/>
      <c r="D58" s="24"/>
      <c r="E58" s="30"/>
      <c r="F58" s="44">
        <f t="shared" ref="F58:O58" si="56">F59+F62+F66</f>
        <v>0</v>
      </c>
      <c r="G58" s="45">
        <f t="shared" si="56"/>
        <v>0</v>
      </c>
      <c r="H58" s="45">
        <f t="shared" si="56"/>
        <v>0</v>
      </c>
      <c r="I58" s="45">
        <f t="shared" si="56"/>
        <v>0</v>
      </c>
      <c r="J58" s="45">
        <f t="shared" si="56"/>
        <v>0</v>
      </c>
      <c r="K58" s="45">
        <f t="shared" si="56"/>
        <v>95.312000000000012</v>
      </c>
      <c r="L58" s="45">
        <f t="shared" si="56"/>
        <v>95.312000000000012</v>
      </c>
      <c r="M58" s="45">
        <f t="shared" si="56"/>
        <v>0</v>
      </c>
      <c r="N58" s="45">
        <f t="shared" si="56"/>
        <v>95.312000000000012</v>
      </c>
      <c r="O58" s="45">
        <f t="shared" si="56"/>
        <v>95.312000000000012</v>
      </c>
      <c r="P58" s="45">
        <f t="shared" ref="P58:T58" si="57">P59+P62+P66</f>
        <v>0</v>
      </c>
      <c r="Q58" s="45">
        <f t="shared" si="57"/>
        <v>0</v>
      </c>
      <c r="R58" s="45">
        <f t="shared" si="57"/>
        <v>0</v>
      </c>
      <c r="S58" s="45">
        <f t="shared" si="57"/>
        <v>0</v>
      </c>
      <c r="T58" s="45">
        <f t="shared" si="57"/>
        <v>95.312000000000012</v>
      </c>
      <c r="U58" s="30"/>
      <c r="V58" s="16"/>
    </row>
    <row r="59" spans="1:28" s="25" customFormat="1" ht="25.5" x14ac:dyDescent="0.25">
      <c r="A59" s="46"/>
      <c r="B59" s="23" t="s">
        <v>179</v>
      </c>
      <c r="C59" s="30"/>
      <c r="D59" s="24"/>
      <c r="E59" s="30"/>
      <c r="F59" s="47">
        <f t="shared" ref="F59:O59" si="58">SUM(F60:F61)</f>
        <v>0</v>
      </c>
      <c r="G59" s="48">
        <f t="shared" si="58"/>
        <v>0</v>
      </c>
      <c r="H59" s="48">
        <f t="shared" si="58"/>
        <v>0</v>
      </c>
      <c r="I59" s="48">
        <f t="shared" si="58"/>
        <v>0</v>
      </c>
      <c r="J59" s="48">
        <f t="shared" si="58"/>
        <v>0</v>
      </c>
      <c r="K59" s="48">
        <f t="shared" si="58"/>
        <v>13.841000000000001</v>
      </c>
      <c r="L59" s="48">
        <f t="shared" si="58"/>
        <v>13.841000000000001</v>
      </c>
      <c r="M59" s="48">
        <f t="shared" si="58"/>
        <v>0</v>
      </c>
      <c r="N59" s="48">
        <f t="shared" si="58"/>
        <v>13.841000000000001</v>
      </c>
      <c r="O59" s="48">
        <f t="shared" si="58"/>
        <v>13.841000000000001</v>
      </c>
      <c r="P59" s="48">
        <f t="shared" ref="P59:T59" si="59">SUM(P60:P61)</f>
        <v>0</v>
      </c>
      <c r="Q59" s="48">
        <f t="shared" si="59"/>
        <v>0</v>
      </c>
      <c r="R59" s="48">
        <f t="shared" si="59"/>
        <v>0</v>
      </c>
      <c r="S59" s="48">
        <f t="shared" si="59"/>
        <v>0</v>
      </c>
      <c r="T59" s="48">
        <f t="shared" si="59"/>
        <v>13.841000000000001</v>
      </c>
      <c r="U59" s="30"/>
      <c r="V59" s="16"/>
    </row>
    <row r="60" spans="1:28" s="25" customFormat="1" ht="25.5" x14ac:dyDescent="0.25">
      <c r="A60" s="49">
        <v>2</v>
      </c>
      <c r="B60" s="66" t="s">
        <v>315</v>
      </c>
      <c r="C60" s="30"/>
      <c r="D60" s="24"/>
      <c r="E60" s="30"/>
      <c r="F60" s="24"/>
      <c r="G60" s="50"/>
      <c r="H60" s="50"/>
      <c r="I60" s="50"/>
      <c r="J60" s="50"/>
      <c r="K60" s="50">
        <f t="shared" ref="K60:K61" si="60">+L60+M60</f>
        <v>3.0529999999999999</v>
      </c>
      <c r="L60" s="51">
        <v>3.0529999999999999</v>
      </c>
      <c r="M60" s="50"/>
      <c r="N60" s="50">
        <f t="shared" ref="N60:N61" si="61">+O60+P60+Q60+R60+S60</f>
        <v>3.0529999999999999</v>
      </c>
      <c r="O60" s="50">
        <f t="shared" ref="O60:O61" si="62">+K60</f>
        <v>3.0529999999999999</v>
      </c>
      <c r="P60" s="50"/>
      <c r="Q60" s="50"/>
      <c r="R60" s="50"/>
      <c r="S60" s="50"/>
      <c r="T60" s="26">
        <f t="shared" ref="T60:T61" si="63">+K60</f>
        <v>3.0529999999999999</v>
      </c>
      <c r="U60" s="30"/>
      <c r="V60" s="16" t="s">
        <v>233</v>
      </c>
    </row>
    <row r="61" spans="1:28" s="25" customFormat="1" ht="12.75" x14ac:dyDescent="0.25">
      <c r="A61" s="30">
        <v>3</v>
      </c>
      <c r="B61" s="66" t="s">
        <v>316</v>
      </c>
      <c r="C61" s="30"/>
      <c r="D61" s="24"/>
      <c r="E61" s="30"/>
      <c r="F61" s="24"/>
      <c r="G61" s="50"/>
      <c r="H61" s="50"/>
      <c r="I61" s="50"/>
      <c r="J61" s="50"/>
      <c r="K61" s="50">
        <f t="shared" si="60"/>
        <v>10.788</v>
      </c>
      <c r="L61" s="50">
        <v>10.788</v>
      </c>
      <c r="M61" s="50"/>
      <c r="N61" s="50">
        <f t="shared" si="61"/>
        <v>10.788</v>
      </c>
      <c r="O61" s="50">
        <f t="shared" si="62"/>
        <v>10.788</v>
      </c>
      <c r="P61" s="50"/>
      <c r="Q61" s="50"/>
      <c r="R61" s="50"/>
      <c r="S61" s="50"/>
      <c r="T61" s="26">
        <f t="shared" si="63"/>
        <v>10.788</v>
      </c>
      <c r="U61" s="30"/>
      <c r="V61" s="16" t="s">
        <v>233</v>
      </c>
    </row>
    <row r="62" spans="1:28" s="25" customFormat="1" ht="63.75" x14ac:dyDescent="0.25">
      <c r="A62" s="30"/>
      <c r="B62" s="23" t="str">
        <f>[1]Sheet1!$B$13</f>
        <v>Dự án 4: Đầu tư cơ sở hạ tầng thiết yếu, phục vụ sản xuất, đời sống trong vùng đồng bào dân tộc thiểu số và miền núi và các đơn vị sự nghiệp công của lĩnh vực dân tộc</v>
      </c>
      <c r="C62" s="30"/>
      <c r="D62" s="24"/>
      <c r="E62" s="30"/>
      <c r="F62" s="47">
        <f t="shared" ref="F62:T62" si="64">F63</f>
        <v>0</v>
      </c>
      <c r="G62" s="48">
        <f t="shared" si="64"/>
        <v>0</v>
      </c>
      <c r="H62" s="48">
        <f t="shared" si="64"/>
        <v>0</v>
      </c>
      <c r="I62" s="48">
        <f t="shared" si="64"/>
        <v>0</v>
      </c>
      <c r="J62" s="48">
        <f t="shared" si="64"/>
        <v>0</v>
      </c>
      <c r="K62" s="48">
        <f t="shared" si="64"/>
        <v>60.191000000000003</v>
      </c>
      <c r="L62" s="48">
        <f t="shared" si="64"/>
        <v>60.191000000000003</v>
      </c>
      <c r="M62" s="48">
        <f t="shared" si="64"/>
        <v>0</v>
      </c>
      <c r="N62" s="48">
        <f t="shared" si="64"/>
        <v>60.191000000000003</v>
      </c>
      <c r="O62" s="48">
        <f t="shared" si="64"/>
        <v>60.191000000000003</v>
      </c>
      <c r="P62" s="48">
        <f t="shared" si="64"/>
        <v>0</v>
      </c>
      <c r="Q62" s="48">
        <f t="shared" si="64"/>
        <v>0</v>
      </c>
      <c r="R62" s="48">
        <f t="shared" si="64"/>
        <v>0</v>
      </c>
      <c r="S62" s="48">
        <f t="shared" si="64"/>
        <v>0</v>
      </c>
      <c r="T62" s="48">
        <f t="shared" si="64"/>
        <v>60.191000000000003</v>
      </c>
      <c r="U62" s="30"/>
      <c r="V62" s="16"/>
    </row>
    <row r="63" spans="1:28" s="25" customFormat="1" ht="12.75" x14ac:dyDescent="0.25">
      <c r="A63" s="67"/>
      <c r="B63" s="68" t="s">
        <v>268</v>
      </c>
      <c r="C63" s="30"/>
      <c r="D63" s="24"/>
      <c r="E63" s="30"/>
      <c r="F63" s="69">
        <f t="shared" ref="F63:T63" si="65">SUM(F64:F65)</f>
        <v>0</v>
      </c>
      <c r="G63" s="70">
        <f t="shared" si="65"/>
        <v>0</v>
      </c>
      <c r="H63" s="70">
        <f t="shared" si="65"/>
        <v>0</v>
      </c>
      <c r="I63" s="70">
        <f t="shared" si="65"/>
        <v>0</v>
      </c>
      <c r="J63" s="70">
        <f t="shared" si="65"/>
        <v>0</v>
      </c>
      <c r="K63" s="70">
        <f t="shared" si="65"/>
        <v>60.191000000000003</v>
      </c>
      <c r="L63" s="70">
        <f t="shared" si="65"/>
        <v>60.191000000000003</v>
      </c>
      <c r="M63" s="70">
        <f t="shared" si="65"/>
        <v>0</v>
      </c>
      <c r="N63" s="70">
        <f t="shared" si="65"/>
        <v>60.191000000000003</v>
      </c>
      <c r="O63" s="70">
        <f t="shared" si="65"/>
        <v>60.191000000000003</v>
      </c>
      <c r="P63" s="70">
        <f t="shared" si="65"/>
        <v>0</v>
      </c>
      <c r="Q63" s="70">
        <f t="shared" si="65"/>
        <v>0</v>
      </c>
      <c r="R63" s="70">
        <f t="shared" si="65"/>
        <v>0</v>
      </c>
      <c r="S63" s="70">
        <f t="shared" si="65"/>
        <v>0</v>
      </c>
      <c r="T63" s="70">
        <f t="shared" si="65"/>
        <v>60.191000000000003</v>
      </c>
      <c r="U63" s="30"/>
      <c r="V63" s="16"/>
    </row>
    <row r="64" spans="1:28" s="25" customFormat="1" ht="25.5" x14ac:dyDescent="0.25">
      <c r="A64" s="30">
        <v>1</v>
      </c>
      <c r="B64" s="71" t="s">
        <v>317</v>
      </c>
      <c r="C64" s="30"/>
      <c r="D64" s="24"/>
      <c r="E64" s="30"/>
      <c r="F64" s="24"/>
      <c r="G64" s="50"/>
      <c r="H64" s="50"/>
      <c r="I64" s="50"/>
      <c r="J64" s="50"/>
      <c r="K64" s="50">
        <f t="shared" ref="K64:K65" si="66">+L64+M64</f>
        <v>49.271000000000001</v>
      </c>
      <c r="L64" s="50">
        <v>49.271000000000001</v>
      </c>
      <c r="M64" s="50"/>
      <c r="N64" s="50">
        <f t="shared" ref="N64:N65" si="67">+O64+P64+Q64+R64+S64</f>
        <v>49.271000000000001</v>
      </c>
      <c r="O64" s="50">
        <f t="shared" ref="O64:O65" si="68">+K64</f>
        <v>49.271000000000001</v>
      </c>
      <c r="P64" s="50"/>
      <c r="Q64" s="50"/>
      <c r="R64" s="50"/>
      <c r="S64" s="50"/>
      <c r="T64" s="26">
        <f t="shared" ref="T64:T65" si="69">+K64</f>
        <v>49.271000000000001</v>
      </c>
      <c r="U64" s="30"/>
      <c r="V64" s="16" t="s">
        <v>233</v>
      </c>
    </row>
    <row r="65" spans="1:22" s="25" customFormat="1" ht="25.5" x14ac:dyDescent="0.25">
      <c r="A65" s="30">
        <v>2</v>
      </c>
      <c r="B65" s="34" t="s">
        <v>318</v>
      </c>
      <c r="C65" s="30"/>
      <c r="D65" s="24"/>
      <c r="E65" s="30"/>
      <c r="F65" s="24"/>
      <c r="G65" s="50"/>
      <c r="H65" s="50"/>
      <c r="I65" s="50"/>
      <c r="J65" s="50"/>
      <c r="K65" s="50">
        <f t="shared" si="66"/>
        <v>10.92</v>
      </c>
      <c r="L65" s="50">
        <v>10.92</v>
      </c>
      <c r="M65" s="50"/>
      <c r="N65" s="50">
        <f t="shared" si="67"/>
        <v>10.92</v>
      </c>
      <c r="O65" s="50">
        <f t="shared" si="68"/>
        <v>10.92</v>
      </c>
      <c r="P65" s="50"/>
      <c r="Q65" s="50"/>
      <c r="R65" s="50"/>
      <c r="S65" s="50"/>
      <c r="T65" s="26">
        <f t="shared" si="69"/>
        <v>10.92</v>
      </c>
      <c r="U65" s="30"/>
      <c r="V65" s="16" t="s">
        <v>233</v>
      </c>
    </row>
    <row r="66" spans="1:22" s="25" customFormat="1" ht="38.25" x14ac:dyDescent="0.25">
      <c r="A66" s="14"/>
      <c r="B66" s="23" t="str">
        <f>[1]Sheet1!$B$20</f>
        <v>Dự án 6: Bảo tồn, phát huy giá trị văn hóa truyền thống tốt đẹp của các dân tộc thiểu số gắn với phát triển du lịch</v>
      </c>
      <c r="C66" s="30"/>
      <c r="D66" s="24"/>
      <c r="E66" s="30"/>
      <c r="F66" s="47">
        <f t="shared" ref="F66:T66" si="70">SUM(F67:F68)</f>
        <v>0</v>
      </c>
      <c r="G66" s="48">
        <f t="shared" si="70"/>
        <v>0</v>
      </c>
      <c r="H66" s="48">
        <f t="shared" si="70"/>
        <v>0</v>
      </c>
      <c r="I66" s="48">
        <f t="shared" si="70"/>
        <v>0</v>
      </c>
      <c r="J66" s="48">
        <f t="shared" si="70"/>
        <v>0</v>
      </c>
      <c r="K66" s="48">
        <f t="shared" si="70"/>
        <v>21.28</v>
      </c>
      <c r="L66" s="48">
        <f t="shared" si="70"/>
        <v>21.28</v>
      </c>
      <c r="M66" s="48">
        <f t="shared" si="70"/>
        <v>0</v>
      </c>
      <c r="N66" s="48">
        <f t="shared" si="70"/>
        <v>21.28</v>
      </c>
      <c r="O66" s="48">
        <f t="shared" si="70"/>
        <v>21.28</v>
      </c>
      <c r="P66" s="48">
        <f t="shared" si="70"/>
        <v>0</v>
      </c>
      <c r="Q66" s="48">
        <f t="shared" si="70"/>
        <v>0</v>
      </c>
      <c r="R66" s="48">
        <f t="shared" si="70"/>
        <v>0</v>
      </c>
      <c r="S66" s="48">
        <f t="shared" si="70"/>
        <v>0</v>
      </c>
      <c r="T66" s="48">
        <f t="shared" si="70"/>
        <v>21.28</v>
      </c>
      <c r="U66" s="30"/>
      <c r="V66" s="16"/>
    </row>
    <row r="67" spans="1:22" s="25" customFormat="1" ht="25.5" x14ac:dyDescent="0.25">
      <c r="A67" s="30">
        <v>1</v>
      </c>
      <c r="B67" s="72" t="s">
        <v>319</v>
      </c>
      <c r="C67" s="30"/>
      <c r="D67" s="24"/>
      <c r="E67" s="30"/>
      <c r="F67" s="24"/>
      <c r="G67" s="50"/>
      <c r="H67" s="50"/>
      <c r="I67" s="50"/>
      <c r="J67" s="50"/>
      <c r="K67" s="50">
        <f t="shared" ref="K67:K68" si="71">+L67+M67</f>
        <v>7.5090000000000003</v>
      </c>
      <c r="L67" s="50">
        <v>7.5090000000000003</v>
      </c>
      <c r="M67" s="50"/>
      <c r="N67" s="50">
        <f t="shared" ref="N67:N68" si="72">+O67+P67+Q67+R67+S67</f>
        <v>7.5090000000000003</v>
      </c>
      <c r="O67" s="50">
        <f t="shared" ref="O67:O68" si="73">+K67</f>
        <v>7.5090000000000003</v>
      </c>
      <c r="P67" s="50"/>
      <c r="Q67" s="50"/>
      <c r="R67" s="50"/>
      <c r="S67" s="50"/>
      <c r="T67" s="26">
        <f t="shared" ref="T67:T68" si="74">+K67</f>
        <v>7.5090000000000003</v>
      </c>
      <c r="U67" s="30"/>
      <c r="V67" s="16" t="s">
        <v>233</v>
      </c>
    </row>
    <row r="68" spans="1:22" s="25" customFormat="1" ht="25.5" x14ac:dyDescent="0.25">
      <c r="A68" s="30">
        <v>2</v>
      </c>
      <c r="B68" s="72" t="s">
        <v>320</v>
      </c>
      <c r="C68" s="30"/>
      <c r="D68" s="24"/>
      <c r="E68" s="30"/>
      <c r="F68" s="24"/>
      <c r="G68" s="50"/>
      <c r="H68" s="50"/>
      <c r="I68" s="50"/>
      <c r="J68" s="50"/>
      <c r="K68" s="50">
        <f t="shared" si="71"/>
        <v>13.771000000000001</v>
      </c>
      <c r="L68" s="50">
        <v>13.771000000000001</v>
      </c>
      <c r="M68" s="50"/>
      <c r="N68" s="50">
        <f t="shared" si="72"/>
        <v>13.771000000000001</v>
      </c>
      <c r="O68" s="50">
        <f t="shared" si="73"/>
        <v>13.771000000000001</v>
      </c>
      <c r="P68" s="50"/>
      <c r="Q68" s="50"/>
      <c r="R68" s="50"/>
      <c r="S68" s="50"/>
      <c r="T68" s="26">
        <f t="shared" si="74"/>
        <v>13.771000000000001</v>
      </c>
      <c r="U68" s="30"/>
      <c r="V68" s="16" t="s">
        <v>233</v>
      </c>
    </row>
    <row r="69" spans="1:22" s="28" customFormat="1" ht="38.25" x14ac:dyDescent="0.25">
      <c r="A69" s="19" t="s">
        <v>29</v>
      </c>
      <c r="B69" s="23" t="s">
        <v>303</v>
      </c>
      <c r="C69" s="27"/>
      <c r="D69" s="27"/>
      <c r="E69" s="19"/>
      <c r="F69" s="27"/>
      <c r="G69" s="38">
        <f t="shared" ref="G69:J69" si="75">G70+G74+G85</f>
        <v>14049.201000000001</v>
      </c>
      <c r="H69" s="38">
        <f t="shared" si="75"/>
        <v>0</v>
      </c>
      <c r="I69" s="38">
        <f t="shared" si="75"/>
        <v>0</v>
      </c>
      <c r="J69" s="38">
        <f t="shared" si="75"/>
        <v>0</v>
      </c>
      <c r="K69" s="38">
        <f>K70+K74+K85</f>
        <v>2220.6420000000003</v>
      </c>
      <c r="L69" s="38">
        <f t="shared" ref="L69:O69" si="76">L70+L74+L85</f>
        <v>2220.6420000000003</v>
      </c>
      <c r="M69" s="38">
        <f t="shared" si="76"/>
        <v>0</v>
      </c>
      <c r="N69" s="38">
        <f t="shared" si="76"/>
        <v>2220.6420000000003</v>
      </c>
      <c r="O69" s="38">
        <f t="shared" si="76"/>
        <v>2220.6420000000003</v>
      </c>
      <c r="P69" s="38">
        <f t="shared" ref="P69:T69" si="77">P70+P74+P85</f>
        <v>0</v>
      </c>
      <c r="Q69" s="38">
        <f t="shared" si="77"/>
        <v>0</v>
      </c>
      <c r="R69" s="38">
        <f t="shared" si="77"/>
        <v>0</v>
      </c>
      <c r="S69" s="38">
        <f t="shared" si="77"/>
        <v>0</v>
      </c>
      <c r="T69" s="38">
        <f t="shared" si="77"/>
        <v>2220.6420000000003</v>
      </c>
      <c r="U69" s="27"/>
      <c r="V69" s="19"/>
    </row>
    <row r="70" spans="1:22" s="28" customFormat="1" ht="25.5" x14ac:dyDescent="0.25">
      <c r="A70" s="19" t="s">
        <v>146</v>
      </c>
      <c r="B70" s="23" t="s">
        <v>179</v>
      </c>
      <c r="C70" s="27"/>
      <c r="D70" s="27"/>
      <c r="E70" s="19"/>
      <c r="F70" s="27"/>
      <c r="G70" s="38">
        <f t="shared" ref="G70:J70" si="78">+G71+G72+G73</f>
        <v>1896</v>
      </c>
      <c r="H70" s="38">
        <f t="shared" si="78"/>
        <v>0</v>
      </c>
      <c r="I70" s="38">
        <f t="shared" si="78"/>
        <v>0</v>
      </c>
      <c r="J70" s="38">
        <f t="shared" si="78"/>
        <v>0</v>
      </c>
      <c r="K70" s="38">
        <f>+K71+K72+K73</f>
        <v>658.93000000000006</v>
      </c>
      <c r="L70" s="38">
        <f t="shared" ref="L70:O70" si="79">+L71+L72+L73</f>
        <v>658.93000000000006</v>
      </c>
      <c r="M70" s="38">
        <f t="shared" si="79"/>
        <v>0</v>
      </c>
      <c r="N70" s="38">
        <f t="shared" si="79"/>
        <v>658.93000000000006</v>
      </c>
      <c r="O70" s="38">
        <f t="shared" si="79"/>
        <v>658.93000000000006</v>
      </c>
      <c r="P70" s="38">
        <f t="shared" ref="P70:T70" si="80">+P71+P72+P73</f>
        <v>0</v>
      </c>
      <c r="Q70" s="38">
        <f t="shared" si="80"/>
        <v>0</v>
      </c>
      <c r="R70" s="38">
        <f t="shared" si="80"/>
        <v>0</v>
      </c>
      <c r="S70" s="38">
        <f t="shared" si="80"/>
        <v>0</v>
      </c>
      <c r="T70" s="38">
        <f t="shared" si="80"/>
        <v>658.93000000000006</v>
      </c>
      <c r="U70" s="27"/>
      <c r="V70" s="19"/>
    </row>
    <row r="71" spans="1:22" s="25" customFormat="1" ht="38.25" x14ac:dyDescent="0.25">
      <c r="A71" s="16">
        <v>1</v>
      </c>
      <c r="B71" s="34" t="s">
        <v>259</v>
      </c>
      <c r="C71" s="30" t="s">
        <v>193</v>
      </c>
      <c r="D71" s="30" t="s">
        <v>300</v>
      </c>
      <c r="E71" s="30">
        <v>2023</v>
      </c>
      <c r="F71" s="24"/>
      <c r="G71" s="50">
        <v>632</v>
      </c>
      <c r="H71" s="50"/>
      <c r="I71" s="50"/>
      <c r="J71" s="50"/>
      <c r="K71" s="50">
        <f>+L71+M71</f>
        <v>234.066</v>
      </c>
      <c r="L71" s="50">
        <v>234.066</v>
      </c>
      <c r="M71" s="50"/>
      <c r="N71" s="50">
        <f t="shared" ref="N71:N72" si="81">+O71+P71+Q71+R71+S71</f>
        <v>234.066</v>
      </c>
      <c r="O71" s="50">
        <f>+K71</f>
        <v>234.066</v>
      </c>
      <c r="P71" s="50"/>
      <c r="Q71" s="50"/>
      <c r="R71" s="50"/>
      <c r="S71" s="50"/>
      <c r="T71" s="26">
        <f t="shared" ref="T71:T73" si="82">+K71</f>
        <v>234.066</v>
      </c>
      <c r="U71" s="30" t="s">
        <v>295</v>
      </c>
      <c r="V71" s="16" t="s">
        <v>233</v>
      </c>
    </row>
    <row r="72" spans="1:22" s="25" customFormat="1" ht="25.5" x14ac:dyDescent="0.25">
      <c r="A72" s="16">
        <v>2</v>
      </c>
      <c r="B72" s="34" t="s">
        <v>260</v>
      </c>
      <c r="C72" s="30" t="s">
        <v>86</v>
      </c>
      <c r="D72" s="30" t="s">
        <v>300</v>
      </c>
      <c r="E72" s="30">
        <v>2023</v>
      </c>
      <c r="F72" s="24"/>
      <c r="G72" s="50">
        <v>632</v>
      </c>
      <c r="H72" s="50"/>
      <c r="I72" s="50"/>
      <c r="J72" s="50"/>
      <c r="K72" s="50">
        <f>+L72+M72</f>
        <v>210.292</v>
      </c>
      <c r="L72" s="50">
        <v>210.292</v>
      </c>
      <c r="M72" s="50"/>
      <c r="N72" s="50">
        <f t="shared" si="81"/>
        <v>210.292</v>
      </c>
      <c r="O72" s="50">
        <f>+K72</f>
        <v>210.292</v>
      </c>
      <c r="P72" s="50"/>
      <c r="Q72" s="50"/>
      <c r="R72" s="50"/>
      <c r="S72" s="50"/>
      <c r="T72" s="26">
        <f t="shared" si="82"/>
        <v>210.292</v>
      </c>
      <c r="U72" s="30" t="s">
        <v>224</v>
      </c>
      <c r="V72" s="16" t="s">
        <v>233</v>
      </c>
    </row>
    <row r="73" spans="1:22" s="25" customFormat="1" ht="38.25" x14ac:dyDescent="0.25">
      <c r="A73" s="16">
        <v>3</v>
      </c>
      <c r="B73" s="34" t="s">
        <v>261</v>
      </c>
      <c r="C73" s="30" t="s">
        <v>102</v>
      </c>
      <c r="D73" s="30"/>
      <c r="E73" s="30"/>
      <c r="F73" s="24"/>
      <c r="G73" s="50">
        <v>632</v>
      </c>
      <c r="H73" s="50"/>
      <c r="I73" s="50"/>
      <c r="J73" s="50"/>
      <c r="K73" s="50">
        <f>+L73+M73</f>
        <v>214.572</v>
      </c>
      <c r="L73" s="50">
        <v>214.572</v>
      </c>
      <c r="M73" s="50"/>
      <c r="N73" s="50">
        <f>+O73+P73+Q73+R73+S73</f>
        <v>214.572</v>
      </c>
      <c r="O73" s="50">
        <f>+K73</f>
        <v>214.572</v>
      </c>
      <c r="P73" s="50"/>
      <c r="Q73" s="50"/>
      <c r="R73" s="50"/>
      <c r="S73" s="50"/>
      <c r="T73" s="26">
        <f t="shared" si="82"/>
        <v>214.572</v>
      </c>
      <c r="U73" s="30" t="s">
        <v>296</v>
      </c>
      <c r="V73" s="16" t="s">
        <v>233</v>
      </c>
    </row>
    <row r="74" spans="1:22" s="52" customFormat="1" ht="63.75" x14ac:dyDescent="0.2">
      <c r="A74" s="16" t="s">
        <v>146</v>
      </c>
      <c r="B74" s="23" t="str">
        <f>[2]Sheet1!$B$13</f>
        <v>Dự án 4: Đầu tư cơ sở hạ tầng thiết yếu, phục vụ sản xuất, đời sống trong vùng đồng bào dân tộc thiểu số và miền núi và các đơn vị sự nghiệp công của lĩnh vực dân tộc</v>
      </c>
      <c r="C74" s="30"/>
      <c r="D74" s="30"/>
      <c r="E74" s="30"/>
      <c r="F74" s="27"/>
      <c r="G74" s="38">
        <f>+G75+G81</f>
        <v>11846.201000000001</v>
      </c>
      <c r="H74" s="38">
        <f t="shared" ref="H74:O74" si="83">+H75+H81</f>
        <v>0</v>
      </c>
      <c r="I74" s="38">
        <f t="shared" si="83"/>
        <v>0</v>
      </c>
      <c r="J74" s="38">
        <f t="shared" si="83"/>
        <v>0</v>
      </c>
      <c r="K74" s="38">
        <f>+K75+K81</f>
        <v>1395.3120000000001</v>
      </c>
      <c r="L74" s="38">
        <f t="shared" si="83"/>
        <v>1395.3120000000001</v>
      </c>
      <c r="M74" s="38">
        <f t="shared" si="83"/>
        <v>0</v>
      </c>
      <c r="N74" s="38">
        <f t="shared" si="83"/>
        <v>1395.3120000000001</v>
      </c>
      <c r="O74" s="38">
        <f t="shared" si="83"/>
        <v>1395.3120000000001</v>
      </c>
      <c r="P74" s="38">
        <f t="shared" ref="P74:T74" si="84">+P75+P81</f>
        <v>0</v>
      </c>
      <c r="Q74" s="38">
        <f t="shared" si="84"/>
        <v>0</v>
      </c>
      <c r="R74" s="38">
        <f t="shared" si="84"/>
        <v>0</v>
      </c>
      <c r="S74" s="38">
        <f t="shared" si="84"/>
        <v>0</v>
      </c>
      <c r="T74" s="38">
        <f t="shared" si="84"/>
        <v>1395.3120000000001</v>
      </c>
      <c r="U74" s="27"/>
      <c r="V74" s="19"/>
    </row>
    <row r="75" spans="1:22" s="52" customFormat="1" ht="12.75" x14ac:dyDescent="0.2">
      <c r="A75" s="19" t="s">
        <v>29</v>
      </c>
      <c r="B75" s="23" t="s">
        <v>262</v>
      </c>
      <c r="C75" s="14"/>
      <c r="E75" s="14"/>
      <c r="F75" s="27"/>
      <c r="G75" s="38">
        <f>+SUM(G76:G80)</f>
        <v>9520</v>
      </c>
      <c r="H75" s="38">
        <f t="shared" ref="H75:O75" si="85">+SUM(H76:H80)</f>
        <v>0</v>
      </c>
      <c r="I75" s="38">
        <f t="shared" si="85"/>
        <v>0</v>
      </c>
      <c r="J75" s="38">
        <f t="shared" si="85"/>
        <v>0</v>
      </c>
      <c r="K75" s="38">
        <f t="shared" si="85"/>
        <v>1220.93</v>
      </c>
      <c r="L75" s="38">
        <f t="shared" si="85"/>
        <v>1220.93</v>
      </c>
      <c r="M75" s="38">
        <f t="shared" si="85"/>
        <v>0</v>
      </c>
      <c r="N75" s="38">
        <f t="shared" si="85"/>
        <v>1220.93</v>
      </c>
      <c r="O75" s="38">
        <f t="shared" si="85"/>
        <v>1220.93</v>
      </c>
      <c r="P75" s="38">
        <f t="shared" ref="P75:T75" si="86">+SUM(P76:P80)</f>
        <v>0</v>
      </c>
      <c r="Q75" s="38">
        <f t="shared" si="86"/>
        <v>0</v>
      </c>
      <c r="R75" s="38">
        <f t="shared" si="86"/>
        <v>0</v>
      </c>
      <c r="S75" s="38">
        <f t="shared" si="86"/>
        <v>0</v>
      </c>
      <c r="T75" s="38">
        <f t="shared" si="86"/>
        <v>1220.93</v>
      </c>
      <c r="U75" s="30"/>
      <c r="V75" s="16"/>
    </row>
    <row r="76" spans="1:22" s="56" customFormat="1" ht="38.25" x14ac:dyDescent="0.2">
      <c r="A76" s="16">
        <v>4</v>
      </c>
      <c r="B76" s="34" t="s">
        <v>263</v>
      </c>
      <c r="C76" s="30" t="s">
        <v>213</v>
      </c>
      <c r="D76" s="30" t="s">
        <v>301</v>
      </c>
      <c r="E76" s="30">
        <v>2023</v>
      </c>
      <c r="F76" s="27"/>
      <c r="G76" s="50">
        <v>1744</v>
      </c>
      <c r="H76" s="50"/>
      <c r="I76" s="50"/>
      <c r="J76" s="50"/>
      <c r="K76" s="50">
        <f>+L76+M76</f>
        <v>288.93</v>
      </c>
      <c r="L76" s="50">
        <v>288.93</v>
      </c>
      <c r="M76" s="50"/>
      <c r="N76" s="50">
        <f t="shared" ref="N76:N84" si="87">+O76+P76+Q76+R76+S76</f>
        <v>288.93</v>
      </c>
      <c r="O76" s="50">
        <f>+K76</f>
        <v>288.93</v>
      </c>
      <c r="P76" s="50"/>
      <c r="Q76" s="50"/>
      <c r="R76" s="50"/>
      <c r="S76" s="50"/>
      <c r="T76" s="26">
        <f t="shared" ref="T76:T80" si="88">+K76</f>
        <v>288.93</v>
      </c>
      <c r="U76" s="30" t="s">
        <v>221</v>
      </c>
      <c r="V76" s="16" t="s">
        <v>233</v>
      </c>
    </row>
    <row r="77" spans="1:22" s="56" customFormat="1" ht="38.25" x14ac:dyDescent="0.2">
      <c r="A77" s="16">
        <v>5</v>
      </c>
      <c r="B77" s="34" t="s">
        <v>264</v>
      </c>
      <c r="C77" s="30" t="s">
        <v>163</v>
      </c>
      <c r="D77" s="30" t="s">
        <v>301</v>
      </c>
      <c r="E77" s="30">
        <v>2023</v>
      </c>
      <c r="F77" s="27"/>
      <c r="G77" s="50">
        <v>1940</v>
      </c>
      <c r="H77" s="50"/>
      <c r="I77" s="50"/>
      <c r="J77" s="50"/>
      <c r="K77" s="50">
        <f>+L77+M77</f>
        <v>311</v>
      </c>
      <c r="L77" s="50">
        <v>311</v>
      </c>
      <c r="M77" s="50"/>
      <c r="N77" s="50">
        <f t="shared" si="87"/>
        <v>311</v>
      </c>
      <c r="O77" s="50">
        <f>+K77</f>
        <v>311</v>
      </c>
      <c r="P77" s="50"/>
      <c r="Q77" s="50"/>
      <c r="R77" s="50"/>
      <c r="S77" s="50"/>
      <c r="T77" s="26">
        <f t="shared" si="88"/>
        <v>311</v>
      </c>
      <c r="U77" s="30" t="s">
        <v>220</v>
      </c>
      <c r="V77" s="16" t="s">
        <v>233</v>
      </c>
    </row>
    <row r="78" spans="1:22" s="56" customFormat="1" ht="38.25" x14ac:dyDescent="0.2">
      <c r="A78" s="16">
        <v>6</v>
      </c>
      <c r="B78" s="34" t="s">
        <v>265</v>
      </c>
      <c r="C78" s="30" t="s">
        <v>163</v>
      </c>
      <c r="D78" s="30" t="s">
        <v>300</v>
      </c>
      <c r="E78" s="30">
        <v>2023</v>
      </c>
      <c r="F78" s="27"/>
      <c r="G78" s="50">
        <v>1948</v>
      </c>
      <c r="H78" s="50"/>
      <c r="I78" s="50"/>
      <c r="J78" s="50"/>
      <c r="K78" s="50">
        <f>+L78+M78</f>
        <v>279</v>
      </c>
      <c r="L78" s="50">
        <v>279</v>
      </c>
      <c r="M78" s="50"/>
      <c r="N78" s="50">
        <f t="shared" si="87"/>
        <v>279</v>
      </c>
      <c r="O78" s="50">
        <f>+K78</f>
        <v>279</v>
      </c>
      <c r="P78" s="50"/>
      <c r="Q78" s="50"/>
      <c r="R78" s="50"/>
      <c r="S78" s="50"/>
      <c r="T78" s="26">
        <f t="shared" si="88"/>
        <v>279</v>
      </c>
      <c r="U78" s="30" t="s">
        <v>304</v>
      </c>
      <c r="V78" s="16" t="s">
        <v>233</v>
      </c>
    </row>
    <row r="79" spans="1:22" s="56" customFormat="1" ht="38.25" x14ac:dyDescent="0.2">
      <c r="A79" s="16">
        <v>7</v>
      </c>
      <c r="B79" s="34" t="s">
        <v>266</v>
      </c>
      <c r="C79" s="30" t="s">
        <v>108</v>
      </c>
      <c r="D79" s="30" t="s">
        <v>301</v>
      </c>
      <c r="E79" s="30">
        <v>2023</v>
      </c>
      <c r="F79" s="27"/>
      <c r="G79" s="50">
        <v>1000</v>
      </c>
      <c r="H79" s="50"/>
      <c r="I79" s="50"/>
      <c r="J79" s="50"/>
      <c r="K79" s="50">
        <f>+L79+M79</f>
        <v>9</v>
      </c>
      <c r="L79" s="50">
        <v>9</v>
      </c>
      <c r="M79" s="50"/>
      <c r="N79" s="50">
        <f t="shared" si="87"/>
        <v>9</v>
      </c>
      <c r="O79" s="50">
        <f>+K79</f>
        <v>9</v>
      </c>
      <c r="P79" s="50"/>
      <c r="Q79" s="50"/>
      <c r="R79" s="50"/>
      <c r="S79" s="50"/>
      <c r="T79" s="26">
        <f t="shared" si="88"/>
        <v>9</v>
      </c>
      <c r="U79" s="30" t="s">
        <v>305</v>
      </c>
      <c r="V79" s="16" t="s">
        <v>233</v>
      </c>
    </row>
    <row r="80" spans="1:22" s="56" customFormat="1" ht="38.25" x14ac:dyDescent="0.2">
      <c r="A80" s="16">
        <v>8</v>
      </c>
      <c r="B80" s="34" t="s">
        <v>267</v>
      </c>
      <c r="C80" s="30" t="s">
        <v>108</v>
      </c>
      <c r="D80" s="30" t="s">
        <v>301</v>
      </c>
      <c r="E80" s="30">
        <v>2023</v>
      </c>
      <c r="F80" s="27"/>
      <c r="G80" s="50">
        <v>2888</v>
      </c>
      <c r="H80" s="50"/>
      <c r="I80" s="50"/>
      <c r="J80" s="50"/>
      <c r="K80" s="50">
        <f>+L80+M80</f>
        <v>333</v>
      </c>
      <c r="L80" s="50">
        <v>333</v>
      </c>
      <c r="M80" s="50"/>
      <c r="N80" s="50">
        <f t="shared" si="87"/>
        <v>333</v>
      </c>
      <c r="O80" s="50">
        <f>+K80</f>
        <v>333</v>
      </c>
      <c r="P80" s="50"/>
      <c r="Q80" s="50"/>
      <c r="R80" s="50"/>
      <c r="S80" s="50"/>
      <c r="T80" s="26">
        <f t="shared" si="88"/>
        <v>333</v>
      </c>
      <c r="U80" s="30" t="s">
        <v>304</v>
      </c>
      <c r="V80" s="16" t="s">
        <v>233</v>
      </c>
    </row>
    <row r="81" spans="1:22" s="52" customFormat="1" ht="12.75" x14ac:dyDescent="0.2">
      <c r="A81" s="19" t="s">
        <v>29</v>
      </c>
      <c r="B81" s="23" t="s">
        <v>268</v>
      </c>
      <c r="C81" s="14"/>
      <c r="D81" s="14"/>
      <c r="E81" s="14"/>
      <c r="F81" s="27"/>
      <c r="G81" s="38">
        <f>+SUM(G82:G84)</f>
        <v>2326.201</v>
      </c>
      <c r="H81" s="38">
        <f t="shared" ref="H81:T81" si="89">+SUM(H82:H84)</f>
        <v>0</v>
      </c>
      <c r="I81" s="38">
        <f t="shared" si="89"/>
        <v>0</v>
      </c>
      <c r="J81" s="38">
        <f t="shared" si="89"/>
        <v>0</v>
      </c>
      <c r="K81" s="38">
        <f t="shared" si="89"/>
        <v>174.38200000000001</v>
      </c>
      <c r="L81" s="38">
        <f t="shared" si="89"/>
        <v>174.38200000000001</v>
      </c>
      <c r="M81" s="38">
        <f t="shared" si="89"/>
        <v>0</v>
      </c>
      <c r="N81" s="38">
        <f t="shared" si="89"/>
        <v>174.38200000000001</v>
      </c>
      <c r="O81" s="38">
        <f t="shared" si="89"/>
        <v>174.38200000000001</v>
      </c>
      <c r="P81" s="38">
        <f t="shared" si="89"/>
        <v>0</v>
      </c>
      <c r="Q81" s="38">
        <f t="shared" si="89"/>
        <v>0</v>
      </c>
      <c r="R81" s="38">
        <f t="shared" si="89"/>
        <v>0</v>
      </c>
      <c r="S81" s="38">
        <f t="shared" si="89"/>
        <v>0</v>
      </c>
      <c r="T81" s="38">
        <f t="shared" si="89"/>
        <v>174.38200000000001</v>
      </c>
      <c r="U81" s="30"/>
      <c r="V81" s="16"/>
    </row>
    <row r="82" spans="1:22" s="56" customFormat="1" ht="51" x14ac:dyDescent="0.2">
      <c r="A82" s="16">
        <v>9</v>
      </c>
      <c r="B82" s="34" t="s">
        <v>269</v>
      </c>
      <c r="C82" s="30" t="s">
        <v>130</v>
      </c>
      <c r="D82" s="30"/>
      <c r="E82" s="30">
        <v>2023</v>
      </c>
      <c r="F82" s="27"/>
      <c r="G82" s="50">
        <v>1160.201</v>
      </c>
      <c r="H82" s="50"/>
      <c r="I82" s="50"/>
      <c r="J82" s="50"/>
      <c r="K82" s="50">
        <f>+L82+M82</f>
        <v>94.293000000000006</v>
      </c>
      <c r="L82" s="50">
        <v>94.293000000000006</v>
      </c>
      <c r="M82" s="50"/>
      <c r="N82" s="50">
        <f t="shared" si="87"/>
        <v>94.293000000000006</v>
      </c>
      <c r="O82" s="50">
        <f t="shared" ref="O82:O87" si="90">+K82</f>
        <v>94.293000000000006</v>
      </c>
      <c r="P82" s="50"/>
      <c r="Q82" s="50"/>
      <c r="R82" s="50"/>
      <c r="S82" s="50"/>
      <c r="T82" s="26">
        <f t="shared" ref="T82:T87" si="91">+K82</f>
        <v>94.293000000000006</v>
      </c>
      <c r="U82" s="30" t="s">
        <v>222</v>
      </c>
      <c r="V82" s="16" t="s">
        <v>233</v>
      </c>
    </row>
    <row r="83" spans="1:22" s="56" customFormat="1" ht="38.25" x14ac:dyDescent="0.2">
      <c r="A83" s="16">
        <v>10</v>
      </c>
      <c r="B83" s="34" t="s">
        <v>202</v>
      </c>
      <c r="C83" s="30" t="s">
        <v>52</v>
      </c>
      <c r="D83" s="30"/>
      <c r="E83" s="30">
        <v>2023</v>
      </c>
      <c r="F83" s="27"/>
      <c r="G83" s="50">
        <v>583</v>
      </c>
      <c r="H83" s="50"/>
      <c r="I83" s="50"/>
      <c r="J83" s="50"/>
      <c r="K83" s="50">
        <f>+L83+M83</f>
        <v>69.424999999999997</v>
      </c>
      <c r="L83" s="50">
        <v>69.424999999999997</v>
      </c>
      <c r="M83" s="50"/>
      <c r="N83" s="50">
        <f t="shared" si="87"/>
        <v>69.424999999999997</v>
      </c>
      <c r="O83" s="50">
        <f t="shared" si="90"/>
        <v>69.424999999999997</v>
      </c>
      <c r="P83" s="50"/>
      <c r="Q83" s="50"/>
      <c r="R83" s="50"/>
      <c r="S83" s="50"/>
      <c r="T83" s="26">
        <f t="shared" si="91"/>
        <v>69.424999999999997</v>
      </c>
      <c r="U83" s="30" t="s">
        <v>223</v>
      </c>
      <c r="V83" s="16" t="s">
        <v>233</v>
      </c>
    </row>
    <row r="84" spans="1:22" s="56" customFormat="1" ht="38.25" x14ac:dyDescent="0.2">
      <c r="A84" s="16">
        <v>11</v>
      </c>
      <c r="B84" s="34" t="s">
        <v>270</v>
      </c>
      <c r="C84" s="30" t="s">
        <v>90</v>
      </c>
      <c r="D84" s="30"/>
      <c r="E84" s="30">
        <v>2023</v>
      </c>
      <c r="F84" s="27"/>
      <c r="G84" s="50">
        <v>583</v>
      </c>
      <c r="H84" s="50"/>
      <c r="I84" s="50"/>
      <c r="J84" s="50"/>
      <c r="K84" s="50">
        <f>+L84+M84</f>
        <v>10.664</v>
      </c>
      <c r="L84" s="50">
        <v>10.664</v>
      </c>
      <c r="M84" s="50"/>
      <c r="N84" s="50">
        <f t="shared" si="87"/>
        <v>10.664</v>
      </c>
      <c r="O84" s="50">
        <f t="shared" si="90"/>
        <v>10.664</v>
      </c>
      <c r="P84" s="50"/>
      <c r="Q84" s="50"/>
      <c r="R84" s="50"/>
      <c r="S84" s="50"/>
      <c r="T84" s="26">
        <f t="shared" si="91"/>
        <v>10.664</v>
      </c>
      <c r="U84" s="30" t="s">
        <v>225</v>
      </c>
      <c r="V84" s="16" t="s">
        <v>233</v>
      </c>
    </row>
    <row r="85" spans="1:22" s="52" customFormat="1" ht="38.25" x14ac:dyDescent="0.2">
      <c r="A85" s="19" t="s">
        <v>146</v>
      </c>
      <c r="B85" s="23" t="str">
        <f>[2]Sheet1!$B$20</f>
        <v>Dự án 6: Bảo tồn, phát huy giá trị văn hóa truyền thống tốt đẹp của các dân tộc thiểu số gắn với phát triển du lịch</v>
      </c>
      <c r="C85" s="14"/>
      <c r="D85" s="14"/>
      <c r="E85" s="14"/>
      <c r="F85" s="27"/>
      <c r="G85" s="38">
        <f>SUM(G86:G87)</f>
        <v>307</v>
      </c>
      <c r="H85" s="38">
        <f t="shared" ref="H85:T85" si="92">SUM(H86:H87)</f>
        <v>0</v>
      </c>
      <c r="I85" s="38">
        <f t="shared" si="92"/>
        <v>0</v>
      </c>
      <c r="J85" s="38">
        <f t="shared" si="92"/>
        <v>0</v>
      </c>
      <c r="K85" s="38">
        <f t="shared" si="92"/>
        <v>166.4</v>
      </c>
      <c r="L85" s="38">
        <f t="shared" si="92"/>
        <v>166.4</v>
      </c>
      <c r="M85" s="38">
        <f t="shared" si="92"/>
        <v>0</v>
      </c>
      <c r="N85" s="38">
        <f t="shared" si="92"/>
        <v>166.4</v>
      </c>
      <c r="O85" s="38">
        <f t="shared" si="92"/>
        <v>166.4</v>
      </c>
      <c r="P85" s="38">
        <f t="shared" si="92"/>
        <v>0</v>
      </c>
      <c r="Q85" s="38">
        <f t="shared" si="92"/>
        <v>0</v>
      </c>
      <c r="R85" s="38">
        <f t="shared" si="92"/>
        <v>0</v>
      </c>
      <c r="S85" s="38">
        <f t="shared" si="92"/>
        <v>0</v>
      </c>
      <c r="T85" s="38">
        <f t="shared" si="92"/>
        <v>166.4</v>
      </c>
      <c r="U85" s="14"/>
      <c r="V85" s="19"/>
    </row>
    <row r="86" spans="1:22" s="56" customFormat="1" ht="38.25" x14ac:dyDescent="0.2">
      <c r="A86" s="16">
        <v>12</v>
      </c>
      <c r="B86" s="34" t="s">
        <v>271</v>
      </c>
      <c r="C86" s="30" t="s">
        <v>198</v>
      </c>
      <c r="D86" s="30"/>
      <c r="E86" s="30">
        <v>2023</v>
      </c>
      <c r="F86" s="27"/>
      <c r="G86" s="50">
        <v>155</v>
      </c>
      <c r="H86" s="50"/>
      <c r="I86" s="50"/>
      <c r="J86" s="50"/>
      <c r="K86" s="50">
        <f>+L86+M86</f>
        <v>14.4</v>
      </c>
      <c r="L86" s="50">
        <v>14.4</v>
      </c>
      <c r="M86" s="50"/>
      <c r="N86" s="50">
        <f t="shared" ref="N86:N87" si="93">+O86+P86+Q86+R86+S86</f>
        <v>14.4</v>
      </c>
      <c r="O86" s="50">
        <f t="shared" si="90"/>
        <v>14.4</v>
      </c>
      <c r="P86" s="50"/>
      <c r="Q86" s="50"/>
      <c r="R86" s="50"/>
      <c r="S86" s="50"/>
      <c r="T86" s="26">
        <f t="shared" si="91"/>
        <v>14.4</v>
      </c>
      <c r="U86" s="30" t="s">
        <v>306</v>
      </c>
      <c r="V86" s="16" t="s">
        <v>233</v>
      </c>
    </row>
    <row r="87" spans="1:22" s="56" customFormat="1" ht="38.25" x14ac:dyDescent="0.2">
      <c r="A87" s="16">
        <v>13</v>
      </c>
      <c r="B87" s="34" t="s">
        <v>272</v>
      </c>
      <c r="C87" s="30" t="s">
        <v>193</v>
      </c>
      <c r="D87" s="30"/>
      <c r="E87" s="30">
        <v>2023</v>
      </c>
      <c r="F87" s="27"/>
      <c r="G87" s="50">
        <v>152</v>
      </c>
      <c r="H87" s="50"/>
      <c r="I87" s="50"/>
      <c r="J87" s="50"/>
      <c r="K87" s="50">
        <f t="shared" ref="K87" si="94">+L87+M87</f>
        <v>152</v>
      </c>
      <c r="L87" s="50">
        <v>152</v>
      </c>
      <c r="M87" s="50"/>
      <c r="N87" s="50">
        <f t="shared" si="93"/>
        <v>152</v>
      </c>
      <c r="O87" s="50">
        <f t="shared" si="90"/>
        <v>152</v>
      </c>
      <c r="P87" s="50"/>
      <c r="Q87" s="50"/>
      <c r="R87" s="50"/>
      <c r="S87" s="50"/>
      <c r="T87" s="26">
        <f t="shared" si="91"/>
        <v>152</v>
      </c>
      <c r="U87" s="30" t="s">
        <v>295</v>
      </c>
      <c r="V87" s="16" t="s">
        <v>233</v>
      </c>
    </row>
    <row r="88" spans="1:22" s="52" customFormat="1" ht="21" customHeight="1" x14ac:dyDescent="0.2">
      <c r="A88" s="19" t="s">
        <v>326</v>
      </c>
      <c r="B88" s="23" t="s">
        <v>273</v>
      </c>
      <c r="C88" s="14"/>
      <c r="D88" s="14"/>
      <c r="E88" s="14"/>
      <c r="F88" s="27"/>
      <c r="G88" s="21">
        <f>+G89</f>
        <v>46894.052958483953</v>
      </c>
      <c r="H88" s="21">
        <f t="shared" ref="H88:M88" si="95">+H89</f>
        <v>0</v>
      </c>
      <c r="I88" s="21">
        <f t="shared" si="95"/>
        <v>21670.023000000001</v>
      </c>
      <c r="J88" s="21">
        <f t="shared" si="95"/>
        <v>15801</v>
      </c>
      <c r="K88" s="21">
        <f t="shared" si="95"/>
        <v>4101</v>
      </c>
      <c r="L88" s="21">
        <f t="shared" si="95"/>
        <v>0</v>
      </c>
      <c r="M88" s="21">
        <f t="shared" si="95"/>
        <v>4101</v>
      </c>
      <c r="N88" s="21">
        <f t="shared" ref="N88" si="96">+N89</f>
        <v>7791.9</v>
      </c>
      <c r="O88" s="21">
        <f t="shared" ref="O88" si="97">+O89</f>
        <v>410.1</v>
      </c>
      <c r="P88" s="21">
        <f t="shared" ref="P88" si="98">+P89</f>
        <v>820.2</v>
      </c>
      <c r="Q88" s="21">
        <f t="shared" ref="Q88" si="99">+Q89</f>
        <v>1230.3</v>
      </c>
      <c r="R88" s="21">
        <f t="shared" ref="R88" si="100">+R89</f>
        <v>2050.5</v>
      </c>
      <c r="S88" s="21">
        <f t="shared" ref="S88" si="101">+S89</f>
        <v>3280.8</v>
      </c>
      <c r="T88" s="21">
        <f t="shared" ref="T88" si="102">+T89</f>
        <v>4101</v>
      </c>
      <c r="U88" s="14"/>
      <c r="V88" s="19"/>
    </row>
    <row r="89" spans="1:22" s="53" customFormat="1" ht="51" x14ac:dyDescent="0.2">
      <c r="A89" s="19" t="s">
        <v>146</v>
      </c>
      <c r="B89" s="23" t="s">
        <v>274</v>
      </c>
      <c r="C89" s="14"/>
      <c r="D89" s="14"/>
      <c r="E89" s="14"/>
      <c r="F89" s="27"/>
      <c r="G89" s="21">
        <f>+G90+G99+G102+G108</f>
        <v>46894.052958483953</v>
      </c>
      <c r="H89" s="21">
        <f t="shared" ref="H89:M89" si="103">+H90+H99+H102+H108</f>
        <v>0</v>
      </c>
      <c r="I89" s="21">
        <f t="shared" si="103"/>
        <v>21670.023000000001</v>
      </c>
      <c r="J89" s="21">
        <f t="shared" si="103"/>
        <v>15801</v>
      </c>
      <c r="K89" s="21">
        <f t="shared" si="103"/>
        <v>4101</v>
      </c>
      <c r="L89" s="21">
        <f t="shared" si="103"/>
        <v>0</v>
      </c>
      <c r="M89" s="21">
        <f t="shared" si="103"/>
        <v>4101</v>
      </c>
      <c r="N89" s="21">
        <f t="shared" ref="N89" si="104">+N90+N99+N102+N108</f>
        <v>7791.9</v>
      </c>
      <c r="O89" s="21">
        <f t="shared" ref="O89" si="105">+O90+O99+O102+O108</f>
        <v>410.1</v>
      </c>
      <c r="P89" s="21">
        <f t="shared" ref="P89" si="106">+P90+P99+P102+P108</f>
        <v>820.2</v>
      </c>
      <c r="Q89" s="21">
        <f t="shared" ref="Q89" si="107">+Q90+Q99+Q102+Q108</f>
        <v>1230.3</v>
      </c>
      <c r="R89" s="21">
        <f t="shared" ref="R89" si="108">+R90+R99+R102+R108</f>
        <v>2050.5</v>
      </c>
      <c r="S89" s="21">
        <f t="shared" ref="S89" si="109">+S90+S99+S102+S108</f>
        <v>3280.8</v>
      </c>
      <c r="T89" s="21">
        <f t="shared" ref="T89" si="110">+T90+T99+T102+T108</f>
        <v>4101</v>
      </c>
      <c r="U89" s="14"/>
      <c r="V89" s="19"/>
    </row>
    <row r="90" spans="1:22" s="53" customFormat="1" ht="25.5" x14ac:dyDescent="0.2">
      <c r="A90" s="19" t="s">
        <v>147</v>
      </c>
      <c r="B90" s="23" t="s">
        <v>275</v>
      </c>
      <c r="C90" s="14"/>
      <c r="D90" s="14"/>
      <c r="E90" s="14"/>
      <c r="F90" s="27"/>
      <c r="G90" s="21">
        <f>+SUM(G91:G98)</f>
        <v>19541.753958483954</v>
      </c>
      <c r="H90" s="21">
        <f t="shared" ref="H90:N90" si="111">+SUM(H91:H98)</f>
        <v>0</v>
      </c>
      <c r="I90" s="21">
        <f t="shared" si="111"/>
        <v>0</v>
      </c>
      <c r="J90" s="21">
        <f t="shared" si="111"/>
        <v>0</v>
      </c>
      <c r="K90" s="21">
        <f t="shared" si="111"/>
        <v>680</v>
      </c>
      <c r="L90" s="21"/>
      <c r="M90" s="21">
        <f t="shared" si="111"/>
        <v>680</v>
      </c>
      <c r="N90" s="21">
        <f t="shared" si="111"/>
        <v>1292</v>
      </c>
      <c r="O90" s="21">
        <f t="shared" ref="O90:O107" si="112">+K90*10%</f>
        <v>68</v>
      </c>
      <c r="P90" s="21">
        <f t="shared" ref="P90:P107" si="113">+K90*20%</f>
        <v>136</v>
      </c>
      <c r="Q90" s="21">
        <f t="shared" ref="Q90:Q107" si="114">+K90*30%</f>
        <v>204</v>
      </c>
      <c r="R90" s="21">
        <f t="shared" ref="R90:R107" si="115">+K90*50%</f>
        <v>340</v>
      </c>
      <c r="S90" s="21">
        <f t="shared" ref="S90:S107" si="116">+K90*80%</f>
        <v>544</v>
      </c>
      <c r="T90" s="21">
        <f t="shared" ref="T90:T107" si="117">+K90</f>
        <v>680</v>
      </c>
      <c r="U90" s="14"/>
      <c r="V90" s="19"/>
    </row>
    <row r="91" spans="1:22" ht="25.5" x14ac:dyDescent="0.25">
      <c r="A91" s="16">
        <v>1</v>
      </c>
      <c r="B91" s="34" t="s">
        <v>276</v>
      </c>
      <c r="C91" s="30" t="s">
        <v>86</v>
      </c>
      <c r="D91" s="30"/>
      <c r="E91" s="30">
        <v>2021</v>
      </c>
      <c r="F91" s="27"/>
      <c r="G91" s="26">
        <v>1344.6207982625899</v>
      </c>
      <c r="H91" s="26"/>
      <c r="I91" s="26"/>
      <c r="J91" s="26"/>
      <c r="K91" s="26">
        <f t="shared" ref="K91:K107" si="118">+L91+M91</f>
        <v>50</v>
      </c>
      <c r="L91" s="26"/>
      <c r="M91" s="26">
        <v>50</v>
      </c>
      <c r="N91" s="26">
        <f t="shared" ref="N91:N107" si="119">+O91+P91+Q91+R91+S91</f>
        <v>95</v>
      </c>
      <c r="O91" s="26">
        <f t="shared" si="112"/>
        <v>5</v>
      </c>
      <c r="P91" s="26">
        <f t="shared" si="113"/>
        <v>10</v>
      </c>
      <c r="Q91" s="26">
        <f t="shared" si="114"/>
        <v>15</v>
      </c>
      <c r="R91" s="26">
        <f t="shared" si="115"/>
        <v>25</v>
      </c>
      <c r="S91" s="26">
        <f t="shared" si="116"/>
        <v>40</v>
      </c>
      <c r="T91" s="26">
        <f t="shared" si="117"/>
        <v>50</v>
      </c>
      <c r="U91" s="30" t="s">
        <v>224</v>
      </c>
      <c r="V91" s="16" t="s">
        <v>233</v>
      </c>
    </row>
    <row r="92" spans="1:22" ht="25.5" x14ac:dyDescent="0.25">
      <c r="A92" s="16">
        <v>2</v>
      </c>
      <c r="B92" s="34" t="s">
        <v>277</v>
      </c>
      <c r="C92" s="30" t="s">
        <v>86</v>
      </c>
      <c r="D92" s="30"/>
      <c r="E92" s="30">
        <v>2021</v>
      </c>
      <c r="F92" s="27"/>
      <c r="G92" s="26">
        <v>1136.4913313792704</v>
      </c>
      <c r="H92" s="26"/>
      <c r="I92" s="26"/>
      <c r="J92" s="26"/>
      <c r="K92" s="26">
        <f t="shared" si="118"/>
        <v>40</v>
      </c>
      <c r="L92" s="26"/>
      <c r="M92" s="26">
        <v>40</v>
      </c>
      <c r="N92" s="26">
        <f t="shared" si="119"/>
        <v>76</v>
      </c>
      <c r="O92" s="26">
        <f t="shared" si="112"/>
        <v>4</v>
      </c>
      <c r="P92" s="26">
        <f t="shared" si="113"/>
        <v>8</v>
      </c>
      <c r="Q92" s="26">
        <f t="shared" si="114"/>
        <v>12</v>
      </c>
      <c r="R92" s="26">
        <f t="shared" si="115"/>
        <v>20</v>
      </c>
      <c r="S92" s="26">
        <f t="shared" si="116"/>
        <v>32</v>
      </c>
      <c r="T92" s="26">
        <f t="shared" si="117"/>
        <v>40</v>
      </c>
      <c r="U92" s="30" t="s">
        <v>224</v>
      </c>
      <c r="V92" s="16" t="s">
        <v>233</v>
      </c>
    </row>
    <row r="93" spans="1:22" ht="25.5" x14ac:dyDescent="0.25">
      <c r="A93" s="16">
        <v>3</v>
      </c>
      <c r="B93" s="34" t="s">
        <v>278</v>
      </c>
      <c r="C93" s="30" t="s">
        <v>86</v>
      </c>
      <c r="D93" s="30"/>
      <c r="E93" s="30">
        <v>2021</v>
      </c>
      <c r="F93" s="27"/>
      <c r="G93" s="26">
        <v>4497.4399810000004</v>
      </c>
      <c r="H93" s="26"/>
      <c r="I93" s="26"/>
      <c r="J93" s="26"/>
      <c r="K93" s="26">
        <f t="shared" si="118"/>
        <v>70</v>
      </c>
      <c r="L93" s="26"/>
      <c r="M93" s="26">
        <v>70</v>
      </c>
      <c r="N93" s="26">
        <f t="shared" si="119"/>
        <v>133</v>
      </c>
      <c r="O93" s="26">
        <f t="shared" si="112"/>
        <v>7</v>
      </c>
      <c r="P93" s="26">
        <f t="shared" si="113"/>
        <v>14</v>
      </c>
      <c r="Q93" s="26">
        <f t="shared" si="114"/>
        <v>21</v>
      </c>
      <c r="R93" s="26">
        <f t="shared" si="115"/>
        <v>35</v>
      </c>
      <c r="S93" s="26">
        <f t="shared" si="116"/>
        <v>56</v>
      </c>
      <c r="T93" s="26">
        <f t="shared" si="117"/>
        <v>70</v>
      </c>
      <c r="U93" s="30" t="s">
        <v>224</v>
      </c>
      <c r="V93" s="16" t="s">
        <v>233</v>
      </c>
    </row>
    <row r="94" spans="1:22" ht="25.5" x14ac:dyDescent="0.25">
      <c r="A94" s="16">
        <v>4</v>
      </c>
      <c r="B94" s="34" t="s">
        <v>279</v>
      </c>
      <c r="C94" s="30" t="s">
        <v>86</v>
      </c>
      <c r="D94" s="30"/>
      <c r="E94" s="30">
        <v>2021</v>
      </c>
      <c r="F94" s="27"/>
      <c r="G94" s="26">
        <v>1879.9284963679895</v>
      </c>
      <c r="H94" s="26"/>
      <c r="I94" s="26"/>
      <c r="J94" s="26"/>
      <c r="K94" s="26">
        <f t="shared" si="118"/>
        <v>60</v>
      </c>
      <c r="L94" s="26"/>
      <c r="M94" s="26">
        <v>60</v>
      </c>
      <c r="N94" s="26">
        <f t="shared" si="119"/>
        <v>114</v>
      </c>
      <c r="O94" s="26">
        <f t="shared" si="112"/>
        <v>6</v>
      </c>
      <c r="P94" s="26">
        <f t="shared" si="113"/>
        <v>12</v>
      </c>
      <c r="Q94" s="26">
        <f t="shared" si="114"/>
        <v>18</v>
      </c>
      <c r="R94" s="26">
        <f t="shared" si="115"/>
        <v>30</v>
      </c>
      <c r="S94" s="26">
        <f t="shared" si="116"/>
        <v>48</v>
      </c>
      <c r="T94" s="26">
        <f t="shared" si="117"/>
        <v>60</v>
      </c>
      <c r="U94" s="30" t="s">
        <v>224</v>
      </c>
      <c r="V94" s="16" t="s">
        <v>233</v>
      </c>
    </row>
    <row r="95" spans="1:22" ht="38.25" x14ac:dyDescent="0.25">
      <c r="A95" s="16">
        <v>5</v>
      </c>
      <c r="B95" s="34" t="s">
        <v>280</v>
      </c>
      <c r="C95" s="30" t="s">
        <v>297</v>
      </c>
      <c r="D95" s="30"/>
      <c r="E95" s="30">
        <v>2021</v>
      </c>
      <c r="F95" s="27"/>
      <c r="G95" s="26">
        <v>3579.749530384383</v>
      </c>
      <c r="H95" s="26"/>
      <c r="I95" s="26"/>
      <c r="J95" s="26"/>
      <c r="K95" s="26">
        <f t="shared" si="118"/>
        <v>150</v>
      </c>
      <c r="L95" s="26"/>
      <c r="M95" s="26">
        <v>150</v>
      </c>
      <c r="N95" s="26">
        <f t="shared" si="119"/>
        <v>285</v>
      </c>
      <c r="O95" s="26">
        <f t="shared" si="112"/>
        <v>15</v>
      </c>
      <c r="P95" s="26">
        <f t="shared" si="113"/>
        <v>30</v>
      </c>
      <c r="Q95" s="26">
        <f t="shared" si="114"/>
        <v>45</v>
      </c>
      <c r="R95" s="26">
        <f t="shared" si="115"/>
        <v>75</v>
      </c>
      <c r="S95" s="26">
        <f t="shared" si="116"/>
        <v>120</v>
      </c>
      <c r="T95" s="26">
        <f t="shared" si="117"/>
        <v>150</v>
      </c>
      <c r="U95" s="30" t="s">
        <v>307</v>
      </c>
      <c r="V95" s="16" t="s">
        <v>233</v>
      </c>
    </row>
    <row r="96" spans="1:22" ht="38.25" x14ac:dyDescent="0.25">
      <c r="A96" s="16">
        <v>6</v>
      </c>
      <c r="B96" s="34" t="s">
        <v>281</v>
      </c>
      <c r="C96" s="30" t="s">
        <v>204</v>
      </c>
      <c r="D96" s="30"/>
      <c r="E96" s="30">
        <v>2021</v>
      </c>
      <c r="F96" s="27"/>
      <c r="G96" s="26">
        <v>1161.1429800000001</v>
      </c>
      <c r="H96" s="26"/>
      <c r="I96" s="26"/>
      <c r="J96" s="26"/>
      <c r="K96" s="26">
        <f t="shared" si="118"/>
        <v>40</v>
      </c>
      <c r="L96" s="26"/>
      <c r="M96" s="26">
        <v>40</v>
      </c>
      <c r="N96" s="26">
        <f t="shared" si="119"/>
        <v>76</v>
      </c>
      <c r="O96" s="26">
        <f t="shared" si="112"/>
        <v>4</v>
      </c>
      <c r="P96" s="26">
        <f t="shared" si="113"/>
        <v>8</v>
      </c>
      <c r="Q96" s="26">
        <f t="shared" si="114"/>
        <v>12</v>
      </c>
      <c r="R96" s="26">
        <f t="shared" si="115"/>
        <v>20</v>
      </c>
      <c r="S96" s="26">
        <f t="shared" si="116"/>
        <v>32</v>
      </c>
      <c r="T96" s="26">
        <f t="shared" si="117"/>
        <v>40</v>
      </c>
      <c r="U96" s="30" t="s">
        <v>308</v>
      </c>
      <c r="V96" s="16" t="s">
        <v>233</v>
      </c>
    </row>
    <row r="97" spans="1:22" ht="38.25" x14ac:dyDescent="0.25">
      <c r="A97" s="16">
        <v>7</v>
      </c>
      <c r="B97" s="34" t="s">
        <v>282</v>
      </c>
      <c r="C97" s="30" t="s">
        <v>198</v>
      </c>
      <c r="D97" s="30"/>
      <c r="E97" s="30">
        <v>2021</v>
      </c>
      <c r="F97" s="27"/>
      <c r="G97" s="26">
        <v>3933.807738</v>
      </c>
      <c r="H97" s="26"/>
      <c r="I97" s="26"/>
      <c r="J97" s="26"/>
      <c r="K97" s="26">
        <f t="shared" si="118"/>
        <v>200</v>
      </c>
      <c r="L97" s="26"/>
      <c r="M97" s="26">
        <v>200</v>
      </c>
      <c r="N97" s="26">
        <f t="shared" si="119"/>
        <v>380</v>
      </c>
      <c r="O97" s="26">
        <f t="shared" si="112"/>
        <v>20</v>
      </c>
      <c r="P97" s="26">
        <f t="shared" si="113"/>
        <v>40</v>
      </c>
      <c r="Q97" s="26">
        <f t="shared" si="114"/>
        <v>60</v>
      </c>
      <c r="R97" s="26">
        <f t="shared" si="115"/>
        <v>100</v>
      </c>
      <c r="S97" s="26">
        <f t="shared" si="116"/>
        <v>160</v>
      </c>
      <c r="T97" s="26">
        <f t="shared" si="117"/>
        <v>200</v>
      </c>
      <c r="U97" s="30" t="s">
        <v>306</v>
      </c>
      <c r="V97" s="16" t="s">
        <v>233</v>
      </c>
    </row>
    <row r="98" spans="1:22" ht="38.25" x14ac:dyDescent="0.25">
      <c r="A98" s="16">
        <v>8</v>
      </c>
      <c r="B98" s="34" t="s">
        <v>283</v>
      </c>
      <c r="C98" s="30" t="s">
        <v>90</v>
      </c>
      <c r="D98" s="30"/>
      <c r="E98" s="30">
        <v>2021</v>
      </c>
      <c r="F98" s="27"/>
      <c r="G98" s="26">
        <v>2008.5731030897182</v>
      </c>
      <c r="H98" s="26"/>
      <c r="I98" s="26"/>
      <c r="J98" s="26"/>
      <c r="K98" s="26">
        <f t="shared" si="118"/>
        <v>70</v>
      </c>
      <c r="L98" s="26"/>
      <c r="M98" s="26">
        <v>70</v>
      </c>
      <c r="N98" s="26">
        <f t="shared" si="119"/>
        <v>133</v>
      </c>
      <c r="O98" s="26">
        <f t="shared" si="112"/>
        <v>7</v>
      </c>
      <c r="P98" s="26">
        <f t="shared" si="113"/>
        <v>14</v>
      </c>
      <c r="Q98" s="26">
        <f t="shared" si="114"/>
        <v>21</v>
      </c>
      <c r="R98" s="26">
        <f t="shared" si="115"/>
        <v>35</v>
      </c>
      <c r="S98" s="26">
        <f t="shared" si="116"/>
        <v>56</v>
      </c>
      <c r="T98" s="26">
        <f t="shared" si="117"/>
        <v>70</v>
      </c>
      <c r="U98" s="30" t="s">
        <v>225</v>
      </c>
      <c r="V98" s="16" t="s">
        <v>233</v>
      </c>
    </row>
    <row r="99" spans="1:22" s="53" customFormat="1" ht="25.5" x14ac:dyDescent="0.2">
      <c r="A99" s="19" t="s">
        <v>147</v>
      </c>
      <c r="B99" s="23" t="s">
        <v>284</v>
      </c>
      <c r="C99" s="14"/>
      <c r="D99" s="14"/>
      <c r="E99" s="14"/>
      <c r="F99" s="27"/>
      <c r="G99" s="21">
        <f>+SUM(G100:G101)</f>
        <v>16924.858</v>
      </c>
      <c r="H99" s="21"/>
      <c r="I99" s="21">
        <f t="shared" ref="I99:N99" si="120">+SUM(I100:I101)</f>
        <v>15082.909000000001</v>
      </c>
      <c r="J99" s="21">
        <f t="shared" si="120"/>
        <v>10071</v>
      </c>
      <c r="K99" s="21">
        <f t="shared" si="120"/>
        <v>2021</v>
      </c>
      <c r="L99" s="21">
        <f t="shared" si="120"/>
        <v>0</v>
      </c>
      <c r="M99" s="21">
        <f t="shared" si="120"/>
        <v>2021</v>
      </c>
      <c r="N99" s="21">
        <f t="shared" si="120"/>
        <v>3839.8999999999996</v>
      </c>
      <c r="O99" s="21">
        <f t="shared" si="112"/>
        <v>202.10000000000002</v>
      </c>
      <c r="P99" s="21">
        <f t="shared" si="113"/>
        <v>404.20000000000005</v>
      </c>
      <c r="Q99" s="21">
        <f t="shared" si="114"/>
        <v>606.29999999999995</v>
      </c>
      <c r="R99" s="21">
        <f t="shared" si="115"/>
        <v>1010.5</v>
      </c>
      <c r="S99" s="21">
        <f t="shared" si="116"/>
        <v>1616.8000000000002</v>
      </c>
      <c r="T99" s="21">
        <f t="shared" si="117"/>
        <v>2021</v>
      </c>
      <c r="U99" s="14"/>
      <c r="V99" s="19"/>
    </row>
    <row r="100" spans="1:22" ht="51" x14ac:dyDescent="0.25">
      <c r="A100" s="16">
        <v>9</v>
      </c>
      <c r="B100" s="34" t="s">
        <v>285</v>
      </c>
      <c r="C100" s="30" t="s">
        <v>52</v>
      </c>
      <c r="D100" s="30"/>
      <c r="E100" s="30">
        <v>2022</v>
      </c>
      <c r="F100" s="27"/>
      <c r="G100" s="26">
        <v>14488.123</v>
      </c>
      <c r="H100" s="26"/>
      <c r="I100" s="26">
        <v>13091.048000000001</v>
      </c>
      <c r="J100" s="26">
        <v>8221</v>
      </c>
      <c r="K100" s="26">
        <f t="shared" si="118"/>
        <v>1421</v>
      </c>
      <c r="L100" s="26"/>
      <c r="M100" s="26">
        <v>1421</v>
      </c>
      <c r="N100" s="26">
        <f t="shared" si="119"/>
        <v>2699.8999999999996</v>
      </c>
      <c r="O100" s="26">
        <f t="shared" si="112"/>
        <v>142.1</v>
      </c>
      <c r="P100" s="26">
        <f t="shared" si="113"/>
        <v>284.2</v>
      </c>
      <c r="Q100" s="26">
        <f t="shared" si="114"/>
        <v>426.3</v>
      </c>
      <c r="R100" s="26">
        <f t="shared" si="115"/>
        <v>710.5</v>
      </c>
      <c r="S100" s="26">
        <f t="shared" si="116"/>
        <v>1136.8</v>
      </c>
      <c r="T100" s="26">
        <f t="shared" si="117"/>
        <v>1421</v>
      </c>
      <c r="U100" s="30" t="s">
        <v>45</v>
      </c>
      <c r="V100" s="16" t="s">
        <v>233</v>
      </c>
    </row>
    <row r="101" spans="1:22" ht="51" x14ac:dyDescent="0.25">
      <c r="A101" s="16">
        <v>10</v>
      </c>
      <c r="B101" s="34" t="s">
        <v>286</v>
      </c>
      <c r="C101" s="30" t="s">
        <v>52</v>
      </c>
      <c r="D101" s="30"/>
      <c r="E101" s="30">
        <v>2022</v>
      </c>
      <c r="F101" s="27"/>
      <c r="G101" s="26">
        <v>2436.7349999999997</v>
      </c>
      <c r="H101" s="26"/>
      <c r="I101" s="26">
        <v>1991.8610000000001</v>
      </c>
      <c r="J101" s="26">
        <v>1850</v>
      </c>
      <c r="K101" s="26">
        <f t="shared" si="118"/>
        <v>600</v>
      </c>
      <c r="L101" s="26"/>
      <c r="M101" s="26">
        <v>600</v>
      </c>
      <c r="N101" s="26">
        <f t="shared" si="119"/>
        <v>1140</v>
      </c>
      <c r="O101" s="26">
        <f t="shared" si="112"/>
        <v>60</v>
      </c>
      <c r="P101" s="26">
        <f t="shared" si="113"/>
        <v>120</v>
      </c>
      <c r="Q101" s="26">
        <f t="shared" si="114"/>
        <v>180</v>
      </c>
      <c r="R101" s="26">
        <f t="shared" si="115"/>
        <v>300</v>
      </c>
      <c r="S101" s="26">
        <f t="shared" si="116"/>
        <v>480</v>
      </c>
      <c r="T101" s="26">
        <f t="shared" si="117"/>
        <v>600</v>
      </c>
      <c r="U101" s="30" t="s">
        <v>45</v>
      </c>
      <c r="V101" s="16" t="s">
        <v>233</v>
      </c>
    </row>
    <row r="102" spans="1:22" s="53" customFormat="1" ht="25.5" x14ac:dyDescent="0.2">
      <c r="A102" s="19" t="s">
        <v>147</v>
      </c>
      <c r="B102" s="23" t="s">
        <v>287</v>
      </c>
      <c r="C102" s="14"/>
      <c r="D102" s="14"/>
      <c r="E102" s="14"/>
      <c r="F102" s="27"/>
      <c r="G102" s="21">
        <f>+SUM(G103:G107)</f>
        <v>10427.441000000001</v>
      </c>
      <c r="H102" s="21"/>
      <c r="I102" s="21">
        <f t="shared" ref="I102:N102" si="121">+SUM(I103:I107)</f>
        <v>6587.1140000000005</v>
      </c>
      <c r="J102" s="21">
        <f t="shared" si="121"/>
        <v>5730</v>
      </c>
      <c r="K102" s="21">
        <f t="shared" si="121"/>
        <v>1400</v>
      </c>
      <c r="L102" s="21">
        <f t="shared" si="121"/>
        <v>0</v>
      </c>
      <c r="M102" s="21">
        <f t="shared" si="121"/>
        <v>1400</v>
      </c>
      <c r="N102" s="21">
        <f t="shared" si="121"/>
        <v>2660</v>
      </c>
      <c r="O102" s="21">
        <f>+K102*10%</f>
        <v>140</v>
      </c>
      <c r="P102" s="21">
        <f t="shared" si="113"/>
        <v>280</v>
      </c>
      <c r="Q102" s="21">
        <f t="shared" si="114"/>
        <v>420</v>
      </c>
      <c r="R102" s="21">
        <f t="shared" si="115"/>
        <v>700</v>
      </c>
      <c r="S102" s="21">
        <f t="shared" si="116"/>
        <v>1120</v>
      </c>
      <c r="T102" s="21">
        <f t="shared" si="117"/>
        <v>1400</v>
      </c>
      <c r="U102" s="14"/>
      <c r="V102" s="19"/>
    </row>
    <row r="103" spans="1:22" ht="51" x14ac:dyDescent="0.25">
      <c r="A103" s="16">
        <v>11</v>
      </c>
      <c r="B103" s="34" t="s">
        <v>288</v>
      </c>
      <c r="C103" s="30" t="s">
        <v>298</v>
      </c>
      <c r="D103" s="30"/>
      <c r="E103" s="30" t="s">
        <v>302</v>
      </c>
      <c r="F103" s="27"/>
      <c r="G103" s="26">
        <v>2314.0200000000004</v>
      </c>
      <c r="H103" s="26"/>
      <c r="I103" s="26">
        <v>1478.365</v>
      </c>
      <c r="J103" s="26">
        <v>1250</v>
      </c>
      <c r="K103" s="26">
        <f t="shared" si="118"/>
        <v>100</v>
      </c>
      <c r="L103" s="26"/>
      <c r="M103" s="26">
        <v>100</v>
      </c>
      <c r="N103" s="26">
        <f t="shared" si="119"/>
        <v>190</v>
      </c>
      <c r="O103" s="26">
        <f t="shared" si="112"/>
        <v>10</v>
      </c>
      <c r="P103" s="26">
        <f t="shared" si="113"/>
        <v>20</v>
      </c>
      <c r="Q103" s="26">
        <f t="shared" si="114"/>
        <v>30</v>
      </c>
      <c r="R103" s="26">
        <f t="shared" si="115"/>
        <v>50</v>
      </c>
      <c r="S103" s="26">
        <f t="shared" si="116"/>
        <v>80</v>
      </c>
      <c r="T103" s="26">
        <f t="shared" si="117"/>
        <v>100</v>
      </c>
      <c r="U103" s="30" t="s">
        <v>45</v>
      </c>
      <c r="V103" s="16" t="s">
        <v>233</v>
      </c>
    </row>
    <row r="104" spans="1:22" ht="51" x14ac:dyDescent="0.25">
      <c r="A104" s="16">
        <v>12</v>
      </c>
      <c r="B104" s="34" t="s">
        <v>289</v>
      </c>
      <c r="C104" s="30" t="s">
        <v>298</v>
      </c>
      <c r="D104" s="30"/>
      <c r="E104" s="30" t="s">
        <v>302</v>
      </c>
      <c r="F104" s="27"/>
      <c r="G104" s="26">
        <v>3465.6</v>
      </c>
      <c r="H104" s="26"/>
      <c r="I104" s="26">
        <v>2821.8020000000001</v>
      </c>
      <c r="J104" s="26">
        <v>2500</v>
      </c>
      <c r="K104" s="26">
        <f t="shared" si="118"/>
        <v>1000</v>
      </c>
      <c r="L104" s="26"/>
      <c r="M104" s="26">
        <v>1000</v>
      </c>
      <c r="N104" s="26">
        <f t="shared" si="119"/>
        <v>1900</v>
      </c>
      <c r="O104" s="26">
        <f t="shared" si="112"/>
        <v>100</v>
      </c>
      <c r="P104" s="26">
        <f t="shared" si="113"/>
        <v>200</v>
      </c>
      <c r="Q104" s="26">
        <f t="shared" si="114"/>
        <v>300</v>
      </c>
      <c r="R104" s="26">
        <f t="shared" si="115"/>
        <v>500</v>
      </c>
      <c r="S104" s="26">
        <f t="shared" si="116"/>
        <v>800</v>
      </c>
      <c r="T104" s="26">
        <f t="shared" si="117"/>
        <v>1000</v>
      </c>
      <c r="U104" s="30" t="s">
        <v>45</v>
      </c>
      <c r="V104" s="16" t="s">
        <v>233</v>
      </c>
    </row>
    <row r="105" spans="1:22" ht="51" x14ac:dyDescent="0.25">
      <c r="A105" s="16">
        <v>13</v>
      </c>
      <c r="B105" s="34" t="s">
        <v>290</v>
      </c>
      <c r="C105" s="30" t="s">
        <v>298</v>
      </c>
      <c r="D105" s="30"/>
      <c r="E105" s="30" t="s">
        <v>302</v>
      </c>
      <c r="F105" s="27"/>
      <c r="G105" s="26">
        <v>2623.31</v>
      </c>
      <c r="H105" s="26"/>
      <c r="I105" s="26">
        <v>1670.921</v>
      </c>
      <c r="J105" s="26">
        <v>1400</v>
      </c>
      <c r="K105" s="26">
        <f t="shared" si="118"/>
        <v>100</v>
      </c>
      <c r="L105" s="26"/>
      <c r="M105" s="26">
        <v>100</v>
      </c>
      <c r="N105" s="26">
        <f t="shared" si="119"/>
        <v>190</v>
      </c>
      <c r="O105" s="26">
        <f t="shared" si="112"/>
        <v>10</v>
      </c>
      <c r="P105" s="26">
        <f t="shared" si="113"/>
        <v>20</v>
      </c>
      <c r="Q105" s="26">
        <f t="shared" si="114"/>
        <v>30</v>
      </c>
      <c r="R105" s="26">
        <f t="shared" si="115"/>
        <v>50</v>
      </c>
      <c r="S105" s="26">
        <f t="shared" si="116"/>
        <v>80</v>
      </c>
      <c r="T105" s="26">
        <f t="shared" si="117"/>
        <v>100</v>
      </c>
      <c r="U105" s="30" t="s">
        <v>45</v>
      </c>
      <c r="V105" s="16" t="s">
        <v>233</v>
      </c>
    </row>
    <row r="106" spans="1:22" ht="51" x14ac:dyDescent="0.25">
      <c r="A106" s="16">
        <v>14</v>
      </c>
      <c r="B106" s="34" t="s">
        <v>291</v>
      </c>
      <c r="C106" s="30" t="s">
        <v>298</v>
      </c>
      <c r="D106" s="30"/>
      <c r="E106" s="30" t="s">
        <v>302</v>
      </c>
      <c r="F106" s="27"/>
      <c r="G106" s="26">
        <v>951.09800000000018</v>
      </c>
      <c r="H106" s="26"/>
      <c r="I106" s="26">
        <v>616.02599999999995</v>
      </c>
      <c r="J106" s="26">
        <v>580</v>
      </c>
      <c r="K106" s="26">
        <f t="shared" si="118"/>
        <v>100</v>
      </c>
      <c r="L106" s="26"/>
      <c r="M106" s="26">
        <v>100</v>
      </c>
      <c r="N106" s="26">
        <f t="shared" si="119"/>
        <v>190</v>
      </c>
      <c r="O106" s="26">
        <f t="shared" si="112"/>
        <v>10</v>
      </c>
      <c r="P106" s="26">
        <f t="shared" si="113"/>
        <v>20</v>
      </c>
      <c r="Q106" s="26">
        <f t="shared" si="114"/>
        <v>30</v>
      </c>
      <c r="R106" s="26">
        <f t="shared" si="115"/>
        <v>50</v>
      </c>
      <c r="S106" s="26">
        <f t="shared" si="116"/>
        <v>80</v>
      </c>
      <c r="T106" s="26">
        <f t="shared" si="117"/>
        <v>100</v>
      </c>
      <c r="U106" s="30" t="s">
        <v>45</v>
      </c>
      <c r="V106" s="16" t="s">
        <v>233</v>
      </c>
    </row>
    <row r="107" spans="1:22" ht="51" x14ac:dyDescent="0.25">
      <c r="A107" s="16">
        <v>15</v>
      </c>
      <c r="B107" s="34" t="s">
        <v>292</v>
      </c>
      <c r="C107" s="30" t="s">
        <v>47</v>
      </c>
      <c r="D107" s="30"/>
      <c r="E107" s="30" t="s">
        <v>302</v>
      </c>
      <c r="F107" s="27"/>
      <c r="G107" s="26">
        <v>1073.413</v>
      </c>
      <c r="H107" s="26"/>
      <c r="I107" s="26"/>
      <c r="J107" s="26"/>
      <c r="K107" s="26">
        <f t="shared" si="118"/>
        <v>100</v>
      </c>
      <c r="L107" s="26"/>
      <c r="M107" s="26">
        <v>100</v>
      </c>
      <c r="N107" s="26">
        <f t="shared" si="119"/>
        <v>190</v>
      </c>
      <c r="O107" s="26">
        <f t="shared" si="112"/>
        <v>10</v>
      </c>
      <c r="P107" s="26">
        <f t="shared" si="113"/>
        <v>20</v>
      </c>
      <c r="Q107" s="26">
        <f t="shared" si="114"/>
        <v>30</v>
      </c>
      <c r="R107" s="26">
        <f t="shared" si="115"/>
        <v>50</v>
      </c>
      <c r="S107" s="26">
        <f t="shared" si="116"/>
        <v>80</v>
      </c>
      <c r="T107" s="26">
        <f t="shared" si="117"/>
        <v>100</v>
      </c>
      <c r="U107" s="30" t="s">
        <v>309</v>
      </c>
      <c r="V107" s="16" t="s">
        <v>233</v>
      </c>
    </row>
  </sheetData>
  <mergeCells count="20">
    <mergeCell ref="K5:K6"/>
    <mergeCell ref="L5:M5"/>
    <mergeCell ref="N5:N6"/>
    <mergeCell ref="N4:T4"/>
    <mergeCell ref="O5:T5"/>
    <mergeCell ref="K4:M4"/>
    <mergeCell ref="U4:U6"/>
    <mergeCell ref="V4:V6"/>
    <mergeCell ref="A1:V1"/>
    <mergeCell ref="A2:V2"/>
    <mergeCell ref="A4:A6"/>
    <mergeCell ref="B4:B6"/>
    <mergeCell ref="C4:C6"/>
    <mergeCell ref="D4:D6"/>
    <mergeCell ref="E4:E6"/>
    <mergeCell ref="F4:H4"/>
    <mergeCell ref="I4:I6"/>
    <mergeCell ref="J4:J6"/>
    <mergeCell ref="F5:F6"/>
    <mergeCell ref="G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79870-CF77-46C5-956B-A79830F61DF6}">
  <sheetPr>
    <tabColor rgb="FF00B050"/>
  </sheetPr>
  <dimension ref="A1:AN54"/>
  <sheetViews>
    <sheetView view="pageBreakPreview" zoomScale="85" zoomScaleNormal="100" zoomScaleSheetLayoutView="85" workbookViewId="0">
      <selection activeCell="W3" sqref="W3"/>
    </sheetView>
  </sheetViews>
  <sheetFormatPr defaultColWidth="9.140625" defaultRowHeight="15" x14ac:dyDescent="0.25"/>
  <cols>
    <col min="1" max="1" width="4.42578125" style="59" bestFit="1" customWidth="1"/>
    <col min="2" max="2" width="32.7109375" style="60" bestFit="1" customWidth="1"/>
    <col min="3" max="3" width="8.28515625" bestFit="1" customWidth="1"/>
    <col min="4" max="4" width="8.5703125" bestFit="1" customWidth="1"/>
    <col min="5" max="5" width="9" style="59" bestFit="1" customWidth="1"/>
    <col min="6" max="6" width="10.28515625" customWidth="1"/>
    <col min="7" max="7" width="11.28515625" bestFit="1" customWidth="1"/>
    <col min="8" max="8" width="9.28515625" bestFit="1" customWidth="1"/>
    <col min="9" max="9" width="11" customWidth="1"/>
    <col min="10" max="10" width="12.28515625" bestFit="1" customWidth="1"/>
    <col min="11" max="11" width="10.28515625" style="61" bestFit="1" customWidth="1"/>
    <col min="12" max="12" width="10.7109375" style="61" bestFit="1" customWidth="1"/>
    <col min="13" max="13" width="10.28515625" style="61" bestFit="1" customWidth="1"/>
    <col min="14" max="14" width="14.85546875" style="61" hidden="1" customWidth="1"/>
    <col min="15" max="16" width="12.42578125" style="61" customWidth="1"/>
    <col min="17" max="17" width="12" style="61" customWidth="1"/>
    <col min="18" max="18" width="13" style="61" customWidth="1"/>
    <col min="19" max="19" width="12.28515625" style="61" customWidth="1"/>
    <col min="20" max="20" width="12.7109375" style="61" customWidth="1"/>
    <col min="21" max="21" width="13" style="61" customWidth="1"/>
    <col min="22" max="22" width="12.7109375" style="61" customWidth="1"/>
    <col min="23" max="23" width="12.42578125" style="61" customWidth="1"/>
    <col min="24" max="24" width="12.28515625" style="61" customWidth="1"/>
    <col min="25" max="25" width="12.7109375" style="61" customWidth="1"/>
    <col min="26" max="26" width="11.5703125" style="61" customWidth="1"/>
    <col min="27" max="27" width="7.7109375" bestFit="1" customWidth="1"/>
    <col min="28" max="28" width="7.28515625" style="62" bestFit="1" customWidth="1"/>
  </cols>
  <sheetData>
    <row r="1" spans="1:40" s="9" customFormat="1" ht="15.75" x14ac:dyDescent="0.2">
      <c r="A1" s="78" t="s">
        <v>18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5"/>
      <c r="AD1" s="6"/>
      <c r="AE1" s="5"/>
      <c r="AF1" s="5"/>
      <c r="AG1" s="7"/>
      <c r="AH1" s="7"/>
      <c r="AI1" s="7"/>
      <c r="AJ1" s="7"/>
      <c r="AK1" s="7"/>
      <c r="AL1" s="7"/>
      <c r="AM1" s="8"/>
      <c r="AN1" s="8"/>
    </row>
    <row r="2" spans="1:40" s="9" customFormat="1" ht="15.75" x14ac:dyDescent="0.2">
      <c r="A2" s="94" t="str">
        <f>'Nhom DA hoan thanh den 31.12'!A2:V2</f>
        <v>(Kèm theo Kế hoạch số      /KH-UBND ngày 26/4/2024 của UBND huyện Bắc Sơn)</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5"/>
      <c r="AD2" s="6"/>
      <c r="AE2" s="5"/>
      <c r="AF2" s="5"/>
      <c r="AG2" s="7"/>
      <c r="AH2" s="7"/>
      <c r="AI2" s="7"/>
      <c r="AJ2" s="7"/>
      <c r="AK2" s="7"/>
      <c r="AL2" s="7"/>
      <c r="AM2" s="8"/>
      <c r="AN2" s="8"/>
    </row>
    <row r="4" spans="1:40" s="10" customFormat="1" ht="26.25" customHeight="1" x14ac:dyDescent="0.25">
      <c r="A4" s="79" t="s">
        <v>0</v>
      </c>
      <c r="B4" s="79" t="s">
        <v>19</v>
      </c>
      <c r="C4" s="79" t="s">
        <v>1</v>
      </c>
      <c r="D4" s="82" t="s">
        <v>2</v>
      </c>
      <c r="E4" s="85" t="s">
        <v>3</v>
      </c>
      <c r="F4" s="88" t="s">
        <v>4</v>
      </c>
      <c r="G4" s="89"/>
      <c r="H4" s="90"/>
      <c r="I4" s="79" t="s">
        <v>20</v>
      </c>
      <c r="J4" s="79" t="s">
        <v>5</v>
      </c>
      <c r="K4" s="91" t="s">
        <v>6</v>
      </c>
      <c r="L4" s="92"/>
      <c r="M4" s="93"/>
      <c r="N4" s="101" t="s">
        <v>22</v>
      </c>
      <c r="O4" s="101"/>
      <c r="P4" s="101"/>
      <c r="Q4" s="101"/>
      <c r="R4" s="101"/>
      <c r="S4" s="101"/>
      <c r="T4" s="101"/>
      <c r="U4" s="101"/>
      <c r="V4" s="101"/>
      <c r="W4" s="101"/>
      <c r="X4" s="101"/>
      <c r="Y4" s="101"/>
      <c r="Z4" s="101"/>
      <c r="AA4" s="79" t="s">
        <v>7</v>
      </c>
      <c r="AB4" s="79" t="s">
        <v>8</v>
      </c>
    </row>
    <row r="5" spans="1:40" s="10" customFormat="1" ht="13.15" customHeight="1" x14ac:dyDescent="0.25">
      <c r="A5" s="80"/>
      <c r="B5" s="80"/>
      <c r="C5" s="80"/>
      <c r="D5" s="83"/>
      <c r="E5" s="86"/>
      <c r="F5" s="79" t="s">
        <v>9</v>
      </c>
      <c r="G5" s="88" t="s">
        <v>10</v>
      </c>
      <c r="H5" s="90"/>
      <c r="I5" s="80"/>
      <c r="J5" s="80"/>
      <c r="K5" s="79" t="s">
        <v>11</v>
      </c>
      <c r="L5" s="88" t="s">
        <v>12</v>
      </c>
      <c r="M5" s="90"/>
      <c r="N5" s="102" t="s">
        <v>11</v>
      </c>
      <c r="O5" s="88" t="s">
        <v>246</v>
      </c>
      <c r="P5" s="89"/>
      <c r="Q5" s="89"/>
      <c r="R5" s="89"/>
      <c r="S5" s="89"/>
      <c r="T5" s="89"/>
      <c r="U5" s="89"/>
      <c r="V5" s="89"/>
      <c r="W5" s="89"/>
      <c r="X5" s="89"/>
      <c r="Y5" s="89"/>
      <c r="Z5" s="90"/>
      <c r="AA5" s="80"/>
      <c r="AB5" s="80"/>
    </row>
    <row r="6" spans="1:40" s="10" customFormat="1" ht="55.5" customHeight="1" x14ac:dyDescent="0.25">
      <c r="A6" s="81"/>
      <c r="B6" s="81"/>
      <c r="C6" s="81"/>
      <c r="D6" s="84"/>
      <c r="E6" s="87"/>
      <c r="F6" s="81"/>
      <c r="G6" s="14" t="s">
        <v>11</v>
      </c>
      <c r="H6" s="14" t="s">
        <v>13</v>
      </c>
      <c r="I6" s="81"/>
      <c r="J6" s="81"/>
      <c r="K6" s="81"/>
      <c r="L6" s="14" t="s">
        <v>14</v>
      </c>
      <c r="M6" s="14" t="s">
        <v>15</v>
      </c>
      <c r="N6" s="96"/>
      <c r="O6" s="14" t="s">
        <v>242</v>
      </c>
      <c r="P6" s="14" t="s">
        <v>243</v>
      </c>
      <c r="Q6" s="14" t="s">
        <v>250</v>
      </c>
      <c r="R6" s="14" t="s">
        <v>249</v>
      </c>
      <c r="S6" s="14" t="s">
        <v>248</v>
      </c>
      <c r="T6" s="14" t="s">
        <v>247</v>
      </c>
      <c r="U6" s="14" t="s">
        <v>255</v>
      </c>
      <c r="V6" s="14" t="s">
        <v>254</v>
      </c>
      <c r="W6" s="14" t="s">
        <v>25</v>
      </c>
      <c r="X6" s="14" t="s">
        <v>253</v>
      </c>
      <c r="Y6" s="14" t="s">
        <v>252</v>
      </c>
      <c r="Z6" s="14" t="s">
        <v>251</v>
      </c>
      <c r="AA6" s="81"/>
      <c r="AB6" s="81"/>
      <c r="AD6" s="10" t="s">
        <v>23</v>
      </c>
    </row>
    <row r="7" spans="1:40" s="18" customFormat="1" ht="12.75" x14ac:dyDescent="0.25">
      <c r="A7" s="16">
        <v>1</v>
      </c>
      <c r="B7" s="17">
        <v>2</v>
      </c>
      <c r="C7" s="16">
        <v>3</v>
      </c>
      <c r="D7" s="16">
        <v>4</v>
      </c>
      <c r="E7" s="16">
        <v>5</v>
      </c>
      <c r="F7" s="16">
        <v>6</v>
      </c>
      <c r="G7" s="16">
        <v>7</v>
      </c>
      <c r="H7" s="16">
        <v>8</v>
      </c>
      <c r="I7" s="16">
        <v>9</v>
      </c>
      <c r="J7" s="16">
        <v>10</v>
      </c>
      <c r="K7" s="16" t="s">
        <v>16</v>
      </c>
      <c r="L7" s="16">
        <v>12</v>
      </c>
      <c r="M7" s="16">
        <v>13</v>
      </c>
      <c r="N7" s="16" t="s">
        <v>256</v>
      </c>
      <c r="O7" s="16">
        <v>15</v>
      </c>
      <c r="P7" s="16">
        <v>16</v>
      </c>
      <c r="Q7" s="16">
        <v>17</v>
      </c>
      <c r="R7" s="16">
        <v>18</v>
      </c>
      <c r="S7" s="16">
        <v>19</v>
      </c>
      <c r="T7" s="16">
        <v>20</v>
      </c>
      <c r="U7" s="16">
        <v>21</v>
      </c>
      <c r="V7" s="16">
        <v>22</v>
      </c>
      <c r="W7" s="16">
        <v>23</v>
      </c>
      <c r="X7" s="16">
        <v>24</v>
      </c>
      <c r="Y7" s="16">
        <v>25</v>
      </c>
      <c r="Z7" s="16">
        <v>26</v>
      </c>
      <c r="AA7" s="16">
        <v>27</v>
      </c>
      <c r="AB7" s="16">
        <v>28</v>
      </c>
    </row>
    <row r="8" spans="1:40" s="22" customFormat="1" ht="12.75" x14ac:dyDescent="0.25">
      <c r="A8" s="19"/>
      <c r="B8" s="20" t="s">
        <v>238</v>
      </c>
      <c r="C8" s="19"/>
      <c r="D8" s="19"/>
      <c r="E8" s="19"/>
      <c r="F8" s="19"/>
      <c r="G8" s="21">
        <f>G9</f>
        <v>91649</v>
      </c>
      <c r="H8" s="21">
        <f t="shared" ref="H8:N8" si="0">H9</f>
        <v>0</v>
      </c>
      <c r="I8" s="21">
        <f t="shared" si="0"/>
        <v>33825</v>
      </c>
      <c r="J8" s="21">
        <f t="shared" si="0"/>
        <v>38205.877999999997</v>
      </c>
      <c r="K8" s="3">
        <f t="shared" si="0"/>
        <v>17919</v>
      </c>
      <c r="L8" s="21">
        <f t="shared" si="0"/>
        <v>0</v>
      </c>
      <c r="M8" s="21">
        <f t="shared" si="0"/>
        <v>17919</v>
      </c>
      <c r="N8" s="21" t="e">
        <f t="shared" si="0"/>
        <v>#REF!</v>
      </c>
      <c r="O8" s="21">
        <f>+K8*10%</f>
        <v>1791.9</v>
      </c>
      <c r="P8" s="21">
        <f>+K8*20%</f>
        <v>3583.8</v>
      </c>
      <c r="Q8" s="21">
        <f>+K8*120%</f>
        <v>21502.799999999999</v>
      </c>
      <c r="R8" s="21">
        <f>+K8*30%</f>
        <v>5375.7</v>
      </c>
      <c r="S8" s="21">
        <f>+K8*35%</f>
        <v>6271.65</v>
      </c>
      <c r="T8" s="21">
        <f>+K8*40%</f>
        <v>7167.6</v>
      </c>
      <c r="U8" s="21">
        <f>+K8*50%</f>
        <v>8959.5</v>
      </c>
      <c r="V8" s="21">
        <f>+K8*60%</f>
        <v>10751.4</v>
      </c>
      <c r="W8" s="3">
        <f>+K8*70%</f>
        <v>12543.3</v>
      </c>
      <c r="X8" s="21">
        <f>+K8*80%</f>
        <v>14335.2</v>
      </c>
      <c r="Y8" s="21">
        <f>+K8*90%</f>
        <v>16127.1</v>
      </c>
      <c r="Z8" s="3">
        <f>+K8*100%</f>
        <v>17919</v>
      </c>
      <c r="AA8" s="19"/>
      <c r="AB8" s="19"/>
    </row>
    <row r="9" spans="1:40" s="25" customFormat="1" ht="12.75" x14ac:dyDescent="0.25">
      <c r="A9" s="19" t="s">
        <v>29</v>
      </c>
      <c r="B9" s="23" t="s">
        <v>30</v>
      </c>
      <c r="C9" s="24"/>
      <c r="D9" s="24"/>
      <c r="E9" s="16"/>
      <c r="F9" s="24"/>
      <c r="G9" s="21">
        <f t="shared" ref="G9:N9" si="1">G10+G11</f>
        <v>91649</v>
      </c>
      <c r="H9" s="21">
        <f t="shared" si="1"/>
        <v>0</v>
      </c>
      <c r="I9" s="21">
        <f t="shared" si="1"/>
        <v>33825</v>
      </c>
      <c r="J9" s="21">
        <f t="shared" si="1"/>
        <v>38205.877999999997</v>
      </c>
      <c r="K9" s="21">
        <f t="shared" si="1"/>
        <v>17919</v>
      </c>
      <c r="L9" s="21">
        <f t="shared" si="1"/>
        <v>0</v>
      </c>
      <c r="M9" s="21">
        <f t="shared" si="1"/>
        <v>17919</v>
      </c>
      <c r="N9" s="21" t="e">
        <f t="shared" si="1"/>
        <v>#REF!</v>
      </c>
      <c r="O9" s="21">
        <f t="shared" ref="O9:O34" si="2">+K9*10%</f>
        <v>1791.9</v>
      </c>
      <c r="P9" s="21">
        <f t="shared" ref="P9:P34" si="3">+K9*20%</f>
        <v>3583.8</v>
      </c>
      <c r="Q9" s="21">
        <f t="shared" ref="Q9:Q34" si="4">+K9*120%</f>
        <v>21502.799999999999</v>
      </c>
      <c r="R9" s="21">
        <f t="shared" ref="R9:R34" si="5">+K9*30%</f>
        <v>5375.7</v>
      </c>
      <c r="S9" s="21">
        <f t="shared" ref="S9:S34" si="6">+K9*35%</f>
        <v>6271.65</v>
      </c>
      <c r="T9" s="21">
        <f t="shared" ref="T9:T34" si="7">+K9*40%</f>
        <v>7167.6</v>
      </c>
      <c r="U9" s="21">
        <f t="shared" ref="U9:U34" si="8">+K9*50%</f>
        <v>8959.5</v>
      </c>
      <c r="V9" s="21">
        <f t="shared" ref="V9:V34" si="9">+K9*60%</f>
        <v>10751.4</v>
      </c>
      <c r="W9" s="21">
        <f t="shared" ref="W9:W34" si="10">+K9*70%</f>
        <v>12543.3</v>
      </c>
      <c r="X9" s="21">
        <f t="shared" ref="X9:X34" si="11">+K9*80%</f>
        <v>14335.2</v>
      </c>
      <c r="Y9" s="21">
        <f t="shared" ref="Y9:Y34" si="12">+K9*90%</f>
        <v>16127.1</v>
      </c>
      <c r="Z9" s="21">
        <f t="shared" ref="Z9:Z34" si="13">+K9*100%</f>
        <v>17919</v>
      </c>
      <c r="AA9" s="24"/>
      <c r="AB9" s="16"/>
    </row>
    <row r="10" spans="1:40" s="25" customFormat="1" ht="12.75" x14ac:dyDescent="0.25">
      <c r="A10" s="19" t="s">
        <v>31</v>
      </c>
      <c r="B10" s="23" t="s">
        <v>32</v>
      </c>
      <c r="C10" s="24"/>
      <c r="D10" s="24"/>
      <c r="E10" s="16"/>
      <c r="F10" s="24"/>
      <c r="G10" s="26"/>
      <c r="H10" s="26"/>
      <c r="I10" s="26"/>
      <c r="J10" s="26"/>
      <c r="K10" s="26"/>
      <c r="L10" s="26"/>
      <c r="M10" s="26"/>
      <c r="N10" s="26"/>
      <c r="O10" s="21">
        <f t="shared" si="2"/>
        <v>0</v>
      </c>
      <c r="P10" s="21">
        <f t="shared" si="3"/>
        <v>0</v>
      </c>
      <c r="Q10" s="21">
        <f t="shared" si="4"/>
        <v>0</v>
      </c>
      <c r="R10" s="21">
        <f t="shared" si="5"/>
        <v>0</v>
      </c>
      <c r="S10" s="21">
        <f t="shared" si="6"/>
        <v>0</v>
      </c>
      <c r="T10" s="21">
        <f t="shared" si="7"/>
        <v>0</v>
      </c>
      <c r="U10" s="21">
        <f t="shared" si="8"/>
        <v>0</v>
      </c>
      <c r="V10" s="21">
        <f t="shared" si="9"/>
        <v>0</v>
      </c>
      <c r="W10" s="21">
        <f t="shared" si="10"/>
        <v>0</v>
      </c>
      <c r="X10" s="21">
        <f t="shared" si="11"/>
        <v>0</v>
      </c>
      <c r="Y10" s="21">
        <f t="shared" si="12"/>
        <v>0</v>
      </c>
      <c r="Z10" s="21">
        <f t="shared" si="13"/>
        <v>0</v>
      </c>
      <c r="AA10" s="24"/>
      <c r="AB10" s="16"/>
    </row>
    <row r="11" spans="1:40" s="28" customFormat="1" ht="12.75" x14ac:dyDescent="0.25">
      <c r="A11" s="14" t="s">
        <v>36</v>
      </c>
      <c r="B11" s="23" t="s">
        <v>37</v>
      </c>
      <c r="C11" s="27"/>
      <c r="D11" s="27"/>
      <c r="E11" s="19"/>
      <c r="F11" s="27"/>
      <c r="G11" s="21">
        <f t="shared" ref="G11:N11" si="14">+G12+G16+G21+G24</f>
        <v>91649</v>
      </c>
      <c r="H11" s="21">
        <f t="shared" si="14"/>
        <v>0</v>
      </c>
      <c r="I11" s="21">
        <f t="shared" si="14"/>
        <v>33825</v>
      </c>
      <c r="J11" s="21">
        <f t="shared" si="14"/>
        <v>38205.877999999997</v>
      </c>
      <c r="K11" s="21">
        <f t="shared" si="14"/>
        <v>17919</v>
      </c>
      <c r="L11" s="21">
        <f t="shared" si="14"/>
        <v>0</v>
      </c>
      <c r="M11" s="21">
        <f t="shared" si="14"/>
        <v>17919</v>
      </c>
      <c r="N11" s="21" t="e">
        <f t="shared" si="14"/>
        <v>#REF!</v>
      </c>
      <c r="O11" s="21">
        <f t="shared" si="2"/>
        <v>1791.9</v>
      </c>
      <c r="P11" s="21">
        <f t="shared" si="3"/>
        <v>3583.8</v>
      </c>
      <c r="Q11" s="21">
        <f t="shared" si="4"/>
        <v>21502.799999999999</v>
      </c>
      <c r="R11" s="21">
        <f t="shared" si="5"/>
        <v>5375.7</v>
      </c>
      <c r="S11" s="21">
        <f t="shared" si="6"/>
        <v>6271.65</v>
      </c>
      <c r="T11" s="21">
        <f t="shared" si="7"/>
        <v>7167.6</v>
      </c>
      <c r="U11" s="21">
        <f t="shared" si="8"/>
        <v>8959.5</v>
      </c>
      <c r="V11" s="21">
        <f t="shared" si="9"/>
        <v>10751.4</v>
      </c>
      <c r="W11" s="21">
        <f t="shared" si="10"/>
        <v>12543.3</v>
      </c>
      <c r="X11" s="21">
        <f t="shared" si="11"/>
        <v>14335.2</v>
      </c>
      <c r="Y11" s="21">
        <f t="shared" si="12"/>
        <v>16127.1</v>
      </c>
      <c r="Z11" s="21">
        <f t="shared" si="13"/>
        <v>17919</v>
      </c>
      <c r="AA11" s="27"/>
      <c r="AB11" s="19"/>
    </row>
    <row r="12" spans="1:40" s="28" customFormat="1" ht="12.75" x14ac:dyDescent="0.25">
      <c r="A12" s="19" t="s">
        <v>39</v>
      </c>
      <c r="B12" s="20" t="s">
        <v>38</v>
      </c>
      <c r="C12" s="27"/>
      <c r="D12" s="27"/>
      <c r="E12" s="19"/>
      <c r="F12" s="27"/>
      <c r="G12" s="21">
        <f>+G13</f>
        <v>7300</v>
      </c>
      <c r="H12" s="21">
        <f t="shared" ref="H12:N12" si="15">+H13</f>
        <v>0</v>
      </c>
      <c r="I12" s="21">
        <f t="shared" si="15"/>
        <v>6985</v>
      </c>
      <c r="J12" s="21">
        <f t="shared" si="15"/>
        <v>1973</v>
      </c>
      <c r="K12" s="21">
        <f t="shared" si="15"/>
        <v>1357</v>
      </c>
      <c r="L12" s="21">
        <f t="shared" si="15"/>
        <v>0</v>
      </c>
      <c r="M12" s="21">
        <f t="shared" si="15"/>
        <v>1357</v>
      </c>
      <c r="N12" s="21">
        <f t="shared" si="15"/>
        <v>2917.55</v>
      </c>
      <c r="O12" s="21">
        <f t="shared" si="2"/>
        <v>135.70000000000002</v>
      </c>
      <c r="P12" s="21">
        <f t="shared" si="3"/>
        <v>271.40000000000003</v>
      </c>
      <c r="Q12" s="21">
        <f t="shared" si="4"/>
        <v>1628.3999999999999</v>
      </c>
      <c r="R12" s="21">
        <f t="shared" si="5"/>
        <v>407.09999999999997</v>
      </c>
      <c r="S12" s="21">
        <f t="shared" si="6"/>
        <v>474.95</v>
      </c>
      <c r="T12" s="21">
        <f t="shared" si="7"/>
        <v>542.80000000000007</v>
      </c>
      <c r="U12" s="21">
        <f t="shared" si="8"/>
        <v>678.5</v>
      </c>
      <c r="V12" s="21">
        <f t="shared" si="9"/>
        <v>814.19999999999993</v>
      </c>
      <c r="W12" s="21">
        <f t="shared" si="10"/>
        <v>949.9</v>
      </c>
      <c r="X12" s="21">
        <f t="shared" si="11"/>
        <v>1085.6000000000001</v>
      </c>
      <c r="Y12" s="21">
        <f t="shared" si="12"/>
        <v>1221.3</v>
      </c>
      <c r="Z12" s="21">
        <f t="shared" si="13"/>
        <v>1357</v>
      </c>
      <c r="AA12" s="27"/>
      <c r="AB12" s="19"/>
    </row>
    <row r="13" spans="1:40" s="25" customFormat="1" ht="12.75" x14ac:dyDescent="0.25">
      <c r="A13" s="30" t="s">
        <v>29</v>
      </c>
      <c r="B13" s="34" t="s">
        <v>24</v>
      </c>
      <c r="C13" s="30"/>
      <c r="D13" s="30"/>
      <c r="E13" s="30"/>
      <c r="F13" s="30"/>
      <c r="G13" s="35">
        <f>+G14+G15</f>
        <v>7300</v>
      </c>
      <c r="H13" s="35">
        <f t="shared" ref="H13:N13" si="16">+H14+H15</f>
        <v>0</v>
      </c>
      <c r="I13" s="35">
        <f t="shared" si="16"/>
        <v>6985</v>
      </c>
      <c r="J13" s="35">
        <f t="shared" si="16"/>
        <v>1973</v>
      </c>
      <c r="K13" s="35">
        <f t="shared" si="16"/>
        <v>1357</v>
      </c>
      <c r="L13" s="35">
        <f t="shared" si="16"/>
        <v>0</v>
      </c>
      <c r="M13" s="35">
        <f t="shared" si="16"/>
        <v>1357</v>
      </c>
      <c r="N13" s="35">
        <f t="shared" si="16"/>
        <v>2917.55</v>
      </c>
      <c r="O13" s="21">
        <f t="shared" si="2"/>
        <v>135.70000000000002</v>
      </c>
      <c r="P13" s="21">
        <f t="shared" si="3"/>
        <v>271.40000000000003</v>
      </c>
      <c r="Q13" s="21">
        <f t="shared" si="4"/>
        <v>1628.3999999999999</v>
      </c>
      <c r="R13" s="21">
        <f t="shared" si="5"/>
        <v>407.09999999999997</v>
      </c>
      <c r="S13" s="21">
        <f t="shared" si="6"/>
        <v>474.95</v>
      </c>
      <c r="T13" s="21">
        <f t="shared" si="7"/>
        <v>542.80000000000007</v>
      </c>
      <c r="U13" s="21">
        <f t="shared" si="8"/>
        <v>678.5</v>
      </c>
      <c r="V13" s="21">
        <f t="shared" si="9"/>
        <v>814.19999999999993</v>
      </c>
      <c r="W13" s="21">
        <f t="shared" si="10"/>
        <v>949.9</v>
      </c>
      <c r="X13" s="21">
        <f t="shared" si="11"/>
        <v>1085.6000000000001</v>
      </c>
      <c r="Y13" s="21">
        <f t="shared" si="12"/>
        <v>1221.3</v>
      </c>
      <c r="Z13" s="21">
        <f t="shared" si="13"/>
        <v>1357</v>
      </c>
      <c r="AA13" s="24"/>
      <c r="AB13" s="16"/>
    </row>
    <row r="14" spans="1:40" s="25" customFormat="1" ht="51" x14ac:dyDescent="0.25">
      <c r="A14" s="16">
        <v>5</v>
      </c>
      <c r="B14" s="34" t="s">
        <v>59</v>
      </c>
      <c r="C14" s="30" t="s">
        <v>60</v>
      </c>
      <c r="D14" s="30" t="s">
        <v>48</v>
      </c>
      <c r="E14" s="30" t="s">
        <v>61</v>
      </c>
      <c r="F14" s="30" t="s">
        <v>66</v>
      </c>
      <c r="G14" s="26">
        <v>5200</v>
      </c>
      <c r="H14" s="26"/>
      <c r="I14" s="26">
        <f>+G14*95%</f>
        <v>4940</v>
      </c>
      <c r="J14" s="26">
        <v>1309</v>
      </c>
      <c r="K14" s="26">
        <f>+L14+M14</f>
        <v>464</v>
      </c>
      <c r="L14" s="26"/>
      <c r="M14" s="26">
        <v>464</v>
      </c>
      <c r="N14" s="26">
        <f t="shared" ref="N14:N15" si="17">+O14+P14+Q14+R14+S14</f>
        <v>997.6</v>
      </c>
      <c r="O14" s="26">
        <f t="shared" si="2"/>
        <v>46.400000000000006</v>
      </c>
      <c r="P14" s="26">
        <f t="shared" si="3"/>
        <v>92.800000000000011</v>
      </c>
      <c r="Q14" s="26">
        <f t="shared" si="4"/>
        <v>556.79999999999995</v>
      </c>
      <c r="R14" s="26">
        <f t="shared" si="5"/>
        <v>139.19999999999999</v>
      </c>
      <c r="S14" s="26">
        <f t="shared" si="6"/>
        <v>162.39999999999998</v>
      </c>
      <c r="T14" s="26">
        <f t="shared" si="7"/>
        <v>185.60000000000002</v>
      </c>
      <c r="U14" s="26">
        <f t="shared" si="8"/>
        <v>232</v>
      </c>
      <c r="V14" s="26">
        <f t="shared" si="9"/>
        <v>278.39999999999998</v>
      </c>
      <c r="W14" s="26">
        <f>+K14*70%</f>
        <v>324.79999999999995</v>
      </c>
      <c r="X14" s="26">
        <f t="shared" si="11"/>
        <v>371.20000000000005</v>
      </c>
      <c r="Y14" s="26">
        <f>+K14*90%</f>
        <v>417.6</v>
      </c>
      <c r="Z14" s="26">
        <f>+K14*100%</f>
        <v>464</v>
      </c>
      <c r="AA14" s="1" t="s">
        <v>45</v>
      </c>
      <c r="AB14" s="16" t="s">
        <v>234</v>
      </c>
    </row>
    <row r="15" spans="1:40" s="25" customFormat="1" ht="51" x14ac:dyDescent="0.25">
      <c r="A15" s="16">
        <v>6</v>
      </c>
      <c r="B15" s="34" t="s">
        <v>62</v>
      </c>
      <c r="C15" s="30" t="s">
        <v>63</v>
      </c>
      <c r="D15" s="30" t="s">
        <v>64</v>
      </c>
      <c r="E15" s="30" t="s">
        <v>61</v>
      </c>
      <c r="F15" s="30" t="s">
        <v>65</v>
      </c>
      <c r="G15" s="26">
        <v>2100</v>
      </c>
      <c r="H15" s="26"/>
      <c r="I15" s="26">
        <v>2045</v>
      </c>
      <c r="J15" s="26">
        <v>664</v>
      </c>
      <c r="K15" s="26">
        <f>+L15+M15</f>
        <v>893</v>
      </c>
      <c r="L15" s="26"/>
      <c r="M15" s="26">
        <v>893</v>
      </c>
      <c r="N15" s="26">
        <f t="shared" si="17"/>
        <v>1919.95</v>
      </c>
      <c r="O15" s="26">
        <f t="shared" si="2"/>
        <v>89.300000000000011</v>
      </c>
      <c r="P15" s="26">
        <f t="shared" si="3"/>
        <v>178.60000000000002</v>
      </c>
      <c r="Q15" s="26">
        <f t="shared" si="4"/>
        <v>1071.5999999999999</v>
      </c>
      <c r="R15" s="26">
        <f t="shared" si="5"/>
        <v>267.89999999999998</v>
      </c>
      <c r="S15" s="26">
        <f t="shared" si="6"/>
        <v>312.54999999999995</v>
      </c>
      <c r="T15" s="26">
        <f t="shared" si="7"/>
        <v>357.20000000000005</v>
      </c>
      <c r="U15" s="26">
        <f t="shared" si="8"/>
        <v>446.5</v>
      </c>
      <c r="V15" s="26">
        <f>+K15*60%</f>
        <v>535.79999999999995</v>
      </c>
      <c r="W15" s="26">
        <f>+K15*70%</f>
        <v>625.09999999999991</v>
      </c>
      <c r="X15" s="26">
        <f t="shared" si="11"/>
        <v>714.40000000000009</v>
      </c>
      <c r="Y15" s="26">
        <f t="shared" si="12"/>
        <v>803.7</v>
      </c>
      <c r="Z15" s="26">
        <f t="shared" si="13"/>
        <v>893</v>
      </c>
      <c r="AA15" s="1" t="s">
        <v>45</v>
      </c>
      <c r="AB15" s="16" t="s">
        <v>234</v>
      </c>
    </row>
    <row r="16" spans="1:40" s="28" customFormat="1" ht="25.5" x14ac:dyDescent="0.25">
      <c r="A16" s="19" t="s">
        <v>67</v>
      </c>
      <c r="B16" s="23" t="s">
        <v>68</v>
      </c>
      <c r="C16" s="27"/>
      <c r="D16" s="27"/>
      <c r="E16" s="19"/>
      <c r="F16" s="27"/>
      <c r="G16" s="21">
        <f>+SUM(G17:G20)</f>
        <v>37949</v>
      </c>
      <c r="H16" s="21"/>
      <c r="I16" s="21">
        <f t="shared" ref="I16:M16" si="18">+SUM(I17:I20)</f>
        <v>12140</v>
      </c>
      <c r="J16" s="21">
        <f t="shared" si="18"/>
        <v>14008.878000000001</v>
      </c>
      <c r="K16" s="21">
        <f t="shared" si="18"/>
        <v>1713</v>
      </c>
      <c r="L16" s="21"/>
      <c r="M16" s="21">
        <f t="shared" si="18"/>
        <v>1713</v>
      </c>
      <c r="N16" s="21" t="e">
        <f>+#REF!+#REF!</f>
        <v>#REF!</v>
      </c>
      <c r="O16" s="21">
        <f t="shared" si="2"/>
        <v>171.3</v>
      </c>
      <c r="P16" s="21">
        <f t="shared" si="3"/>
        <v>342.6</v>
      </c>
      <c r="Q16" s="21">
        <f t="shared" si="4"/>
        <v>2055.6</v>
      </c>
      <c r="R16" s="21">
        <f t="shared" si="5"/>
        <v>513.9</v>
      </c>
      <c r="S16" s="21">
        <f t="shared" si="6"/>
        <v>599.54999999999995</v>
      </c>
      <c r="T16" s="21">
        <f t="shared" si="7"/>
        <v>685.2</v>
      </c>
      <c r="U16" s="21">
        <f t="shared" si="8"/>
        <v>856.5</v>
      </c>
      <c r="V16" s="21">
        <f t="shared" si="9"/>
        <v>1027.8</v>
      </c>
      <c r="W16" s="21">
        <f t="shared" si="10"/>
        <v>1199.0999999999999</v>
      </c>
      <c r="X16" s="21">
        <f t="shared" si="11"/>
        <v>1370.4</v>
      </c>
      <c r="Y16" s="21">
        <f t="shared" si="12"/>
        <v>1541.7</v>
      </c>
      <c r="Z16" s="21">
        <f t="shared" si="13"/>
        <v>1713</v>
      </c>
      <c r="AA16" s="27"/>
      <c r="AB16" s="19"/>
    </row>
    <row r="17" spans="1:30" s="25" customFormat="1" ht="51" x14ac:dyDescent="0.25">
      <c r="A17" s="16">
        <v>9</v>
      </c>
      <c r="B17" s="34" t="s">
        <v>59</v>
      </c>
      <c r="C17" s="30" t="s">
        <v>60</v>
      </c>
      <c r="D17" s="30" t="s">
        <v>48</v>
      </c>
      <c r="E17" s="30">
        <v>2022</v>
      </c>
      <c r="F17" s="30" t="s">
        <v>100</v>
      </c>
      <c r="G17" s="35">
        <v>5200</v>
      </c>
      <c r="H17" s="26"/>
      <c r="I17" s="26">
        <f>+I14</f>
        <v>4940</v>
      </c>
      <c r="J17" s="26">
        <v>508.87799999999999</v>
      </c>
      <c r="K17" s="26">
        <f t="shared" ref="K17:K20" si="19">+L17+M17</f>
        <v>515</v>
      </c>
      <c r="L17" s="26"/>
      <c r="M17" s="26">
        <v>515</v>
      </c>
      <c r="N17" s="26">
        <f t="shared" ref="N17:N20" si="20">+O17+P17+Q17+R17+S17</f>
        <v>1107.25</v>
      </c>
      <c r="O17" s="26">
        <f t="shared" si="2"/>
        <v>51.5</v>
      </c>
      <c r="P17" s="26">
        <f t="shared" si="3"/>
        <v>103</v>
      </c>
      <c r="Q17" s="26">
        <f t="shared" si="4"/>
        <v>618</v>
      </c>
      <c r="R17" s="26">
        <f t="shared" si="5"/>
        <v>154.5</v>
      </c>
      <c r="S17" s="26">
        <f t="shared" si="6"/>
        <v>180.25</v>
      </c>
      <c r="T17" s="26">
        <f t="shared" si="7"/>
        <v>206</v>
      </c>
      <c r="U17" s="26">
        <f t="shared" si="8"/>
        <v>257.5</v>
      </c>
      <c r="V17" s="26">
        <f t="shared" si="9"/>
        <v>309</v>
      </c>
      <c r="W17" s="26">
        <f t="shared" si="10"/>
        <v>360.5</v>
      </c>
      <c r="X17" s="26">
        <f t="shared" si="11"/>
        <v>412</v>
      </c>
      <c r="Y17" s="26">
        <f t="shared" si="12"/>
        <v>463.5</v>
      </c>
      <c r="Z17" s="26">
        <f t="shared" si="13"/>
        <v>515</v>
      </c>
      <c r="AA17" s="1" t="s">
        <v>45</v>
      </c>
      <c r="AB17" s="16" t="s">
        <v>234</v>
      </c>
    </row>
    <row r="18" spans="1:30" s="25" customFormat="1" ht="51" x14ac:dyDescent="0.25">
      <c r="A18" s="16">
        <v>10</v>
      </c>
      <c r="B18" s="34" t="s">
        <v>101</v>
      </c>
      <c r="C18" s="30" t="s">
        <v>102</v>
      </c>
      <c r="D18" s="30" t="s">
        <v>103</v>
      </c>
      <c r="E18" s="30" t="s">
        <v>57</v>
      </c>
      <c r="F18" s="30" t="s">
        <v>104</v>
      </c>
      <c r="G18" s="35">
        <v>4300</v>
      </c>
      <c r="H18" s="26"/>
      <c r="I18" s="26">
        <f>+G18*80%</f>
        <v>3440</v>
      </c>
      <c r="J18" s="26">
        <v>500</v>
      </c>
      <c r="K18" s="26">
        <f t="shared" si="19"/>
        <v>198</v>
      </c>
      <c r="L18" s="26"/>
      <c r="M18" s="26">
        <v>198</v>
      </c>
      <c r="N18" s="26">
        <f t="shared" si="20"/>
        <v>425.7</v>
      </c>
      <c r="O18" s="26">
        <f t="shared" si="2"/>
        <v>19.8</v>
      </c>
      <c r="P18" s="26">
        <f t="shared" si="3"/>
        <v>39.6</v>
      </c>
      <c r="Q18" s="26">
        <f t="shared" si="4"/>
        <v>237.6</v>
      </c>
      <c r="R18" s="26">
        <f t="shared" si="5"/>
        <v>59.4</v>
      </c>
      <c r="S18" s="26">
        <f t="shared" si="6"/>
        <v>69.3</v>
      </c>
      <c r="T18" s="26">
        <f t="shared" si="7"/>
        <v>79.2</v>
      </c>
      <c r="U18" s="26">
        <f t="shared" si="8"/>
        <v>99</v>
      </c>
      <c r="V18" s="26">
        <f t="shared" si="9"/>
        <v>118.8</v>
      </c>
      <c r="W18" s="26">
        <f t="shared" si="10"/>
        <v>138.6</v>
      </c>
      <c r="X18" s="26">
        <f t="shared" si="11"/>
        <v>158.4</v>
      </c>
      <c r="Y18" s="26">
        <f t="shared" si="12"/>
        <v>178.20000000000002</v>
      </c>
      <c r="Z18" s="26">
        <f t="shared" si="13"/>
        <v>198</v>
      </c>
      <c r="AA18" s="1" t="s">
        <v>45</v>
      </c>
      <c r="AB18" s="16" t="s">
        <v>234</v>
      </c>
    </row>
    <row r="19" spans="1:30" s="25" customFormat="1" ht="51" x14ac:dyDescent="0.25">
      <c r="A19" s="16">
        <v>11</v>
      </c>
      <c r="B19" s="34" t="s">
        <v>105</v>
      </c>
      <c r="C19" s="30" t="s">
        <v>106</v>
      </c>
      <c r="D19" s="30" t="s">
        <v>103</v>
      </c>
      <c r="E19" s="30" t="s">
        <v>57</v>
      </c>
      <c r="F19" s="30" t="s">
        <v>107</v>
      </c>
      <c r="G19" s="35">
        <v>4700</v>
      </c>
      <c r="H19" s="26"/>
      <c r="I19" s="26">
        <f>+G19*80%</f>
        <v>3760</v>
      </c>
      <c r="J19" s="26">
        <v>500</v>
      </c>
      <c r="K19" s="26">
        <f t="shared" si="19"/>
        <v>250</v>
      </c>
      <c r="L19" s="26"/>
      <c r="M19" s="26">
        <v>250</v>
      </c>
      <c r="N19" s="26">
        <f t="shared" si="20"/>
        <v>537.5</v>
      </c>
      <c r="O19" s="26">
        <f t="shared" si="2"/>
        <v>25</v>
      </c>
      <c r="P19" s="26">
        <f t="shared" si="3"/>
        <v>50</v>
      </c>
      <c r="Q19" s="26">
        <f t="shared" si="4"/>
        <v>300</v>
      </c>
      <c r="R19" s="26">
        <f t="shared" si="5"/>
        <v>75</v>
      </c>
      <c r="S19" s="26">
        <f t="shared" si="6"/>
        <v>87.5</v>
      </c>
      <c r="T19" s="26">
        <f t="shared" si="7"/>
        <v>100</v>
      </c>
      <c r="U19" s="26">
        <f t="shared" si="8"/>
        <v>125</v>
      </c>
      <c r="V19" s="26">
        <f t="shared" si="9"/>
        <v>150</v>
      </c>
      <c r="W19" s="26">
        <f t="shared" si="10"/>
        <v>175</v>
      </c>
      <c r="X19" s="26">
        <f t="shared" si="11"/>
        <v>200</v>
      </c>
      <c r="Y19" s="26">
        <f t="shared" si="12"/>
        <v>225</v>
      </c>
      <c r="Z19" s="26">
        <f t="shared" si="13"/>
        <v>250</v>
      </c>
      <c r="AA19" s="1" t="s">
        <v>45</v>
      </c>
      <c r="AB19" s="16" t="s">
        <v>234</v>
      </c>
    </row>
    <row r="20" spans="1:30" s="25" customFormat="1" ht="51" x14ac:dyDescent="0.25">
      <c r="A20" s="16">
        <v>12</v>
      </c>
      <c r="B20" s="34" t="s">
        <v>35</v>
      </c>
      <c r="C20" s="30" t="s">
        <v>110</v>
      </c>
      <c r="D20" s="30" t="s">
        <v>103</v>
      </c>
      <c r="E20" s="30" t="s">
        <v>57</v>
      </c>
      <c r="F20" s="30" t="s">
        <v>109</v>
      </c>
      <c r="G20" s="35">
        <v>23749</v>
      </c>
      <c r="H20" s="26"/>
      <c r="I20" s="26"/>
      <c r="J20" s="26">
        <v>12500</v>
      </c>
      <c r="K20" s="26">
        <f t="shared" si="19"/>
        <v>750</v>
      </c>
      <c r="L20" s="26"/>
      <c r="M20" s="26">
        <v>750</v>
      </c>
      <c r="N20" s="26">
        <f t="shared" si="20"/>
        <v>1612.5</v>
      </c>
      <c r="O20" s="26">
        <f t="shared" si="2"/>
        <v>75</v>
      </c>
      <c r="P20" s="26">
        <f t="shared" si="3"/>
        <v>150</v>
      </c>
      <c r="Q20" s="26">
        <f t="shared" si="4"/>
        <v>900</v>
      </c>
      <c r="R20" s="26">
        <f t="shared" si="5"/>
        <v>225</v>
      </c>
      <c r="S20" s="26">
        <f t="shared" si="6"/>
        <v>262.5</v>
      </c>
      <c r="T20" s="26">
        <f t="shared" si="7"/>
        <v>300</v>
      </c>
      <c r="U20" s="26">
        <f t="shared" si="8"/>
        <v>375</v>
      </c>
      <c r="V20" s="26">
        <f t="shared" si="9"/>
        <v>450</v>
      </c>
      <c r="W20" s="26">
        <f t="shared" si="10"/>
        <v>525</v>
      </c>
      <c r="X20" s="26">
        <f t="shared" si="11"/>
        <v>600</v>
      </c>
      <c r="Y20" s="26">
        <f t="shared" si="12"/>
        <v>675</v>
      </c>
      <c r="Z20" s="26">
        <f t="shared" si="13"/>
        <v>750</v>
      </c>
      <c r="AA20" s="1" t="s">
        <v>45</v>
      </c>
      <c r="AB20" s="16" t="s">
        <v>234</v>
      </c>
    </row>
    <row r="21" spans="1:30" s="28" customFormat="1" ht="12.75" x14ac:dyDescent="0.25">
      <c r="A21" s="19" t="s">
        <v>111</v>
      </c>
      <c r="B21" s="20" t="s">
        <v>112</v>
      </c>
      <c r="C21" s="27"/>
      <c r="D21" s="27"/>
      <c r="E21" s="19"/>
      <c r="F21" s="27"/>
      <c r="G21" s="21">
        <f>+G22+G23</f>
        <v>7500</v>
      </c>
      <c r="H21" s="21">
        <f t="shared" ref="H21:N21" si="21">+H22+H23</f>
        <v>0</v>
      </c>
      <c r="I21" s="21">
        <f t="shared" si="21"/>
        <v>0</v>
      </c>
      <c r="J21" s="21">
        <f t="shared" si="21"/>
        <v>600</v>
      </c>
      <c r="K21" s="21">
        <f t="shared" si="21"/>
        <v>350</v>
      </c>
      <c r="L21" s="21">
        <f t="shared" si="21"/>
        <v>0</v>
      </c>
      <c r="M21" s="21">
        <f t="shared" si="21"/>
        <v>350</v>
      </c>
      <c r="N21" s="21">
        <f t="shared" si="21"/>
        <v>752.5</v>
      </c>
      <c r="O21" s="21">
        <f t="shared" si="2"/>
        <v>35</v>
      </c>
      <c r="P21" s="21">
        <f t="shared" si="3"/>
        <v>70</v>
      </c>
      <c r="Q21" s="21">
        <f t="shared" si="4"/>
        <v>420</v>
      </c>
      <c r="R21" s="21">
        <f t="shared" si="5"/>
        <v>105</v>
      </c>
      <c r="S21" s="21">
        <f t="shared" si="6"/>
        <v>122.49999999999999</v>
      </c>
      <c r="T21" s="21">
        <f t="shared" si="7"/>
        <v>140</v>
      </c>
      <c r="U21" s="21">
        <f t="shared" si="8"/>
        <v>175</v>
      </c>
      <c r="V21" s="21">
        <f t="shared" si="9"/>
        <v>210</v>
      </c>
      <c r="W21" s="21">
        <f t="shared" si="10"/>
        <v>244.99999999999997</v>
      </c>
      <c r="X21" s="21">
        <f t="shared" si="11"/>
        <v>280</v>
      </c>
      <c r="Y21" s="21">
        <f t="shared" si="12"/>
        <v>315</v>
      </c>
      <c r="Z21" s="21">
        <f t="shared" si="13"/>
        <v>350</v>
      </c>
      <c r="AA21" s="27"/>
      <c r="AB21" s="19"/>
    </row>
    <row r="22" spans="1:30" s="25" customFormat="1" ht="51" x14ac:dyDescent="0.25">
      <c r="A22" s="16">
        <v>10</v>
      </c>
      <c r="B22" s="34" t="s">
        <v>136</v>
      </c>
      <c r="C22" s="30" t="s">
        <v>137</v>
      </c>
      <c r="D22" s="30" t="s">
        <v>138</v>
      </c>
      <c r="E22" s="30" t="s">
        <v>139</v>
      </c>
      <c r="F22" s="30" t="s">
        <v>142</v>
      </c>
      <c r="G22" s="26">
        <v>5000</v>
      </c>
      <c r="H22" s="26"/>
      <c r="I22" s="26"/>
      <c r="J22" s="26">
        <v>400</v>
      </c>
      <c r="K22" s="26">
        <f t="shared" ref="K22:K23" si="22">+L22+M22</f>
        <v>100</v>
      </c>
      <c r="L22" s="26"/>
      <c r="M22" s="26">
        <v>100</v>
      </c>
      <c r="N22" s="26">
        <f t="shared" ref="N22:N23" si="23">+O22+P22+Q22+R22+S22</f>
        <v>215</v>
      </c>
      <c r="O22" s="26">
        <f t="shared" si="2"/>
        <v>10</v>
      </c>
      <c r="P22" s="26">
        <f t="shared" si="3"/>
        <v>20</v>
      </c>
      <c r="Q22" s="26">
        <f t="shared" si="4"/>
        <v>120</v>
      </c>
      <c r="R22" s="26">
        <f t="shared" si="5"/>
        <v>30</v>
      </c>
      <c r="S22" s="26">
        <f t="shared" si="6"/>
        <v>35</v>
      </c>
      <c r="T22" s="26">
        <f t="shared" si="7"/>
        <v>40</v>
      </c>
      <c r="U22" s="26">
        <f t="shared" si="8"/>
        <v>50</v>
      </c>
      <c r="V22" s="26">
        <f t="shared" si="9"/>
        <v>60</v>
      </c>
      <c r="W22" s="26">
        <f t="shared" si="10"/>
        <v>70</v>
      </c>
      <c r="X22" s="26">
        <f t="shared" si="11"/>
        <v>80</v>
      </c>
      <c r="Y22" s="26">
        <f t="shared" si="12"/>
        <v>90</v>
      </c>
      <c r="Z22" s="26">
        <f t="shared" si="13"/>
        <v>100</v>
      </c>
      <c r="AA22" s="1" t="s">
        <v>45</v>
      </c>
      <c r="AB22" s="16" t="s">
        <v>234</v>
      </c>
    </row>
    <row r="23" spans="1:30" s="25" customFormat="1" ht="51" x14ac:dyDescent="0.25">
      <c r="A23" s="16">
        <v>11</v>
      </c>
      <c r="B23" s="34" t="s">
        <v>140</v>
      </c>
      <c r="C23" s="30" t="s">
        <v>79</v>
      </c>
      <c r="D23" s="30" t="s">
        <v>141</v>
      </c>
      <c r="E23" s="30" t="s">
        <v>139</v>
      </c>
      <c r="F23" s="30" t="s">
        <v>143</v>
      </c>
      <c r="G23" s="26">
        <v>2500</v>
      </c>
      <c r="H23" s="26"/>
      <c r="I23" s="26"/>
      <c r="J23" s="26">
        <v>200</v>
      </c>
      <c r="K23" s="26">
        <f t="shared" si="22"/>
        <v>250</v>
      </c>
      <c r="L23" s="26"/>
      <c r="M23" s="26">
        <v>250</v>
      </c>
      <c r="N23" s="26">
        <f t="shared" si="23"/>
        <v>537.5</v>
      </c>
      <c r="O23" s="26">
        <f t="shared" si="2"/>
        <v>25</v>
      </c>
      <c r="P23" s="26">
        <f t="shared" si="3"/>
        <v>50</v>
      </c>
      <c r="Q23" s="26">
        <f t="shared" si="4"/>
        <v>300</v>
      </c>
      <c r="R23" s="26">
        <f t="shared" si="5"/>
        <v>75</v>
      </c>
      <c r="S23" s="26">
        <f t="shared" si="6"/>
        <v>87.5</v>
      </c>
      <c r="T23" s="26">
        <f t="shared" si="7"/>
        <v>100</v>
      </c>
      <c r="U23" s="26">
        <f t="shared" si="8"/>
        <v>125</v>
      </c>
      <c r="V23" s="26">
        <f t="shared" si="9"/>
        <v>150</v>
      </c>
      <c r="W23" s="26">
        <f t="shared" si="10"/>
        <v>175</v>
      </c>
      <c r="X23" s="26">
        <f t="shared" si="11"/>
        <v>200</v>
      </c>
      <c r="Y23" s="26">
        <f t="shared" si="12"/>
        <v>225</v>
      </c>
      <c r="Z23" s="26">
        <f t="shared" si="13"/>
        <v>250</v>
      </c>
      <c r="AA23" s="1" t="s">
        <v>45</v>
      </c>
      <c r="AB23" s="16" t="s">
        <v>234</v>
      </c>
    </row>
    <row r="24" spans="1:30" s="28" customFormat="1" ht="25.5" x14ac:dyDescent="0.25">
      <c r="A24" s="19" t="s">
        <v>144</v>
      </c>
      <c r="B24" s="23" t="s">
        <v>145</v>
      </c>
      <c r="C24" s="27"/>
      <c r="D24" s="27"/>
      <c r="E24" s="19"/>
      <c r="F24" s="27"/>
      <c r="G24" s="21">
        <f t="shared" ref="G24:N24" si="24">+G25+G31</f>
        <v>38900</v>
      </c>
      <c r="H24" s="21">
        <f t="shared" si="24"/>
        <v>0</v>
      </c>
      <c r="I24" s="21">
        <f t="shared" si="24"/>
        <v>14700</v>
      </c>
      <c r="J24" s="21">
        <f t="shared" si="24"/>
        <v>21624</v>
      </c>
      <c r="K24" s="21">
        <f t="shared" si="24"/>
        <v>14499</v>
      </c>
      <c r="L24" s="21">
        <f t="shared" si="24"/>
        <v>0</v>
      </c>
      <c r="M24" s="21">
        <f t="shared" si="24"/>
        <v>14499</v>
      </c>
      <c r="N24" s="21">
        <f t="shared" si="24"/>
        <v>31172.85</v>
      </c>
      <c r="O24" s="21">
        <f t="shared" si="2"/>
        <v>1449.9</v>
      </c>
      <c r="P24" s="21">
        <f t="shared" si="3"/>
        <v>2899.8</v>
      </c>
      <c r="Q24" s="21">
        <f t="shared" si="4"/>
        <v>17398.8</v>
      </c>
      <c r="R24" s="21">
        <f t="shared" si="5"/>
        <v>4349.7</v>
      </c>
      <c r="S24" s="21">
        <f t="shared" si="6"/>
        <v>5074.6499999999996</v>
      </c>
      <c r="T24" s="21">
        <f t="shared" si="7"/>
        <v>5799.6</v>
      </c>
      <c r="U24" s="21">
        <f t="shared" si="8"/>
        <v>7249.5</v>
      </c>
      <c r="V24" s="21">
        <f t="shared" si="9"/>
        <v>8699.4</v>
      </c>
      <c r="W24" s="21">
        <f t="shared" si="10"/>
        <v>10149.299999999999</v>
      </c>
      <c r="X24" s="21">
        <f t="shared" si="11"/>
        <v>11599.2</v>
      </c>
      <c r="Y24" s="21">
        <f t="shared" si="12"/>
        <v>13049.1</v>
      </c>
      <c r="Z24" s="21">
        <f t="shared" si="13"/>
        <v>14499</v>
      </c>
      <c r="AA24" s="27"/>
      <c r="AB24" s="19"/>
    </row>
    <row r="25" spans="1:30" s="28" customFormat="1" ht="38.25" x14ac:dyDescent="0.25">
      <c r="A25" s="19" t="s">
        <v>29</v>
      </c>
      <c r="B25" s="23" t="s">
        <v>226</v>
      </c>
      <c r="C25" s="27"/>
      <c r="D25" s="27"/>
      <c r="E25" s="19"/>
      <c r="F25" s="27"/>
      <c r="G25" s="21">
        <f>+G26</f>
        <v>14700</v>
      </c>
      <c r="H25" s="21">
        <f t="shared" ref="H25:N25" si="25">+H26</f>
        <v>0</v>
      </c>
      <c r="I25" s="21">
        <f t="shared" si="25"/>
        <v>14700</v>
      </c>
      <c r="J25" s="21">
        <f t="shared" si="25"/>
        <v>9346</v>
      </c>
      <c r="K25" s="21">
        <f t="shared" si="25"/>
        <v>2577</v>
      </c>
      <c r="L25" s="21">
        <f t="shared" si="25"/>
        <v>0</v>
      </c>
      <c r="M25" s="21">
        <f t="shared" si="25"/>
        <v>2577</v>
      </c>
      <c r="N25" s="21">
        <f t="shared" si="25"/>
        <v>5540.55</v>
      </c>
      <c r="O25" s="21">
        <f t="shared" si="2"/>
        <v>257.7</v>
      </c>
      <c r="P25" s="21">
        <f t="shared" si="3"/>
        <v>515.4</v>
      </c>
      <c r="Q25" s="21">
        <f t="shared" si="4"/>
        <v>3092.4</v>
      </c>
      <c r="R25" s="21">
        <f t="shared" si="5"/>
        <v>773.1</v>
      </c>
      <c r="S25" s="21">
        <f t="shared" si="6"/>
        <v>901.94999999999993</v>
      </c>
      <c r="T25" s="21">
        <f t="shared" si="7"/>
        <v>1030.8</v>
      </c>
      <c r="U25" s="21">
        <f t="shared" si="8"/>
        <v>1288.5</v>
      </c>
      <c r="V25" s="21">
        <f t="shared" si="9"/>
        <v>1546.2</v>
      </c>
      <c r="W25" s="21">
        <f t="shared" si="10"/>
        <v>1803.8999999999999</v>
      </c>
      <c r="X25" s="21">
        <f t="shared" si="11"/>
        <v>2061.6</v>
      </c>
      <c r="Y25" s="21">
        <f t="shared" si="12"/>
        <v>2319.3000000000002</v>
      </c>
      <c r="Z25" s="21">
        <f t="shared" si="13"/>
        <v>2577</v>
      </c>
      <c r="AA25" s="27"/>
      <c r="AB25" s="19"/>
      <c r="AD25" s="28" t="s">
        <v>237</v>
      </c>
    </row>
    <row r="26" spans="1:30" s="25" customFormat="1" ht="12.75" x14ac:dyDescent="0.25">
      <c r="A26" s="30" t="s">
        <v>146</v>
      </c>
      <c r="B26" s="34" t="s">
        <v>24</v>
      </c>
      <c r="C26" s="30"/>
      <c r="D26" s="30"/>
      <c r="E26" s="30"/>
      <c r="F26" s="30"/>
      <c r="G26" s="35">
        <f>+G27+G28+G29+G30</f>
        <v>14700</v>
      </c>
      <c r="H26" s="35">
        <f t="shared" ref="H26:N26" si="26">+H27+H28+H29+H30</f>
        <v>0</v>
      </c>
      <c r="I26" s="35">
        <f t="shared" si="26"/>
        <v>14700</v>
      </c>
      <c r="J26" s="35">
        <f t="shared" si="26"/>
        <v>9346</v>
      </c>
      <c r="K26" s="35">
        <f t="shared" si="26"/>
        <v>2577</v>
      </c>
      <c r="L26" s="35">
        <f t="shared" si="26"/>
        <v>0</v>
      </c>
      <c r="M26" s="35">
        <f t="shared" si="26"/>
        <v>2577</v>
      </c>
      <c r="N26" s="35">
        <f t="shared" si="26"/>
        <v>5540.55</v>
      </c>
      <c r="O26" s="26">
        <f t="shared" si="2"/>
        <v>257.7</v>
      </c>
      <c r="P26" s="26">
        <f t="shared" si="3"/>
        <v>515.4</v>
      </c>
      <c r="Q26" s="26">
        <f t="shared" si="4"/>
        <v>3092.4</v>
      </c>
      <c r="R26" s="26">
        <f t="shared" si="5"/>
        <v>773.1</v>
      </c>
      <c r="S26" s="26">
        <f t="shared" si="6"/>
        <v>901.94999999999993</v>
      </c>
      <c r="T26" s="26">
        <f t="shared" si="7"/>
        <v>1030.8</v>
      </c>
      <c r="U26" s="26">
        <f t="shared" si="8"/>
        <v>1288.5</v>
      </c>
      <c r="V26" s="26">
        <f t="shared" si="9"/>
        <v>1546.2</v>
      </c>
      <c r="W26" s="26">
        <f t="shared" si="10"/>
        <v>1803.8999999999999</v>
      </c>
      <c r="X26" s="26">
        <f t="shared" si="11"/>
        <v>2061.6</v>
      </c>
      <c r="Y26" s="26">
        <f t="shared" si="12"/>
        <v>2319.3000000000002</v>
      </c>
      <c r="Z26" s="26">
        <f t="shared" si="13"/>
        <v>2577</v>
      </c>
      <c r="AA26" s="1"/>
      <c r="AB26" s="16"/>
    </row>
    <row r="27" spans="1:30" s="25" customFormat="1" ht="51" x14ac:dyDescent="0.25">
      <c r="A27" s="30">
        <v>9</v>
      </c>
      <c r="B27" s="34" t="s">
        <v>165</v>
      </c>
      <c r="C27" s="30" t="s">
        <v>166</v>
      </c>
      <c r="D27" s="30" t="s">
        <v>123</v>
      </c>
      <c r="E27" s="30">
        <v>2023</v>
      </c>
      <c r="F27" s="30" t="s">
        <v>167</v>
      </c>
      <c r="G27" s="35">
        <v>5396</v>
      </c>
      <c r="H27" s="26"/>
      <c r="I27" s="26">
        <f>+G27</f>
        <v>5396</v>
      </c>
      <c r="J27" s="26">
        <v>3146</v>
      </c>
      <c r="K27" s="26">
        <f t="shared" ref="K27:K30" si="27">+L27+M27</f>
        <v>1125</v>
      </c>
      <c r="L27" s="26"/>
      <c r="M27" s="26">
        <v>1125</v>
      </c>
      <c r="N27" s="26">
        <f t="shared" ref="N27:N30" si="28">+O27+P27+Q27+R27+S27</f>
        <v>2418.75</v>
      </c>
      <c r="O27" s="26">
        <f t="shared" si="2"/>
        <v>112.5</v>
      </c>
      <c r="P27" s="26">
        <f t="shared" si="3"/>
        <v>225</v>
      </c>
      <c r="Q27" s="26">
        <f t="shared" si="4"/>
        <v>1350</v>
      </c>
      <c r="R27" s="26">
        <f t="shared" si="5"/>
        <v>337.5</v>
      </c>
      <c r="S27" s="26">
        <f t="shared" si="6"/>
        <v>393.75</v>
      </c>
      <c r="T27" s="26">
        <f t="shared" si="7"/>
        <v>450</v>
      </c>
      <c r="U27" s="26">
        <f t="shared" si="8"/>
        <v>562.5</v>
      </c>
      <c r="V27" s="26">
        <f t="shared" si="9"/>
        <v>675</v>
      </c>
      <c r="W27" s="26">
        <f t="shared" si="10"/>
        <v>787.5</v>
      </c>
      <c r="X27" s="26">
        <f t="shared" si="11"/>
        <v>900</v>
      </c>
      <c r="Y27" s="26">
        <f t="shared" si="12"/>
        <v>1012.5</v>
      </c>
      <c r="Z27" s="26">
        <f t="shared" si="13"/>
        <v>1125</v>
      </c>
      <c r="AA27" s="1" t="s">
        <v>45</v>
      </c>
      <c r="AB27" s="16" t="s">
        <v>234</v>
      </c>
    </row>
    <row r="28" spans="1:30" s="25" customFormat="1" ht="51" x14ac:dyDescent="0.25">
      <c r="A28" s="30">
        <v>10</v>
      </c>
      <c r="B28" s="34" t="s">
        <v>168</v>
      </c>
      <c r="C28" s="30" t="s">
        <v>166</v>
      </c>
      <c r="D28" s="30" t="s">
        <v>123</v>
      </c>
      <c r="E28" s="30">
        <v>2023</v>
      </c>
      <c r="F28" s="30" t="s">
        <v>169</v>
      </c>
      <c r="G28" s="35">
        <v>4304</v>
      </c>
      <c r="H28" s="26"/>
      <c r="I28" s="26">
        <f>+G28</f>
        <v>4304</v>
      </c>
      <c r="J28" s="26">
        <v>2800</v>
      </c>
      <c r="K28" s="26">
        <f t="shared" si="27"/>
        <v>652</v>
      </c>
      <c r="L28" s="26"/>
      <c r="M28" s="26">
        <v>652</v>
      </c>
      <c r="N28" s="26">
        <f t="shared" si="28"/>
        <v>1401.8</v>
      </c>
      <c r="O28" s="26">
        <f t="shared" si="2"/>
        <v>65.2</v>
      </c>
      <c r="P28" s="26">
        <f t="shared" si="3"/>
        <v>130.4</v>
      </c>
      <c r="Q28" s="26">
        <f t="shared" si="4"/>
        <v>782.4</v>
      </c>
      <c r="R28" s="26">
        <f t="shared" si="5"/>
        <v>195.6</v>
      </c>
      <c r="S28" s="26">
        <f t="shared" si="6"/>
        <v>228.2</v>
      </c>
      <c r="T28" s="26">
        <f t="shared" si="7"/>
        <v>260.8</v>
      </c>
      <c r="U28" s="26">
        <f t="shared" si="8"/>
        <v>326</v>
      </c>
      <c r="V28" s="26">
        <f t="shared" si="9"/>
        <v>391.2</v>
      </c>
      <c r="W28" s="26">
        <f t="shared" si="10"/>
        <v>456.4</v>
      </c>
      <c r="X28" s="26">
        <f t="shared" si="11"/>
        <v>521.6</v>
      </c>
      <c r="Y28" s="26">
        <f t="shared" si="12"/>
        <v>586.80000000000007</v>
      </c>
      <c r="Z28" s="26">
        <f t="shared" si="13"/>
        <v>652</v>
      </c>
      <c r="AA28" s="1" t="s">
        <v>45</v>
      </c>
      <c r="AB28" s="16" t="s">
        <v>234</v>
      </c>
    </row>
    <row r="29" spans="1:30" s="25" customFormat="1" ht="51" x14ac:dyDescent="0.25">
      <c r="A29" s="30">
        <v>11</v>
      </c>
      <c r="B29" s="34" t="s">
        <v>170</v>
      </c>
      <c r="C29" s="30" t="s">
        <v>166</v>
      </c>
      <c r="D29" s="30" t="s">
        <v>123</v>
      </c>
      <c r="E29" s="30">
        <v>2023</v>
      </c>
      <c r="F29" s="30" t="s">
        <v>171</v>
      </c>
      <c r="G29" s="35">
        <v>2500</v>
      </c>
      <c r="H29" s="26"/>
      <c r="I29" s="26">
        <f>+G29</f>
        <v>2500</v>
      </c>
      <c r="J29" s="26">
        <v>1700</v>
      </c>
      <c r="K29" s="26">
        <f t="shared" si="27"/>
        <v>400</v>
      </c>
      <c r="L29" s="26"/>
      <c r="M29" s="26">
        <v>400</v>
      </c>
      <c r="N29" s="26">
        <f t="shared" si="28"/>
        <v>860</v>
      </c>
      <c r="O29" s="26">
        <f t="shared" si="2"/>
        <v>40</v>
      </c>
      <c r="P29" s="26">
        <f t="shared" si="3"/>
        <v>80</v>
      </c>
      <c r="Q29" s="26">
        <f t="shared" si="4"/>
        <v>480</v>
      </c>
      <c r="R29" s="26">
        <f t="shared" si="5"/>
        <v>120</v>
      </c>
      <c r="S29" s="26">
        <f t="shared" si="6"/>
        <v>140</v>
      </c>
      <c r="T29" s="26">
        <f t="shared" si="7"/>
        <v>160</v>
      </c>
      <c r="U29" s="26">
        <f t="shared" si="8"/>
        <v>200</v>
      </c>
      <c r="V29" s="26">
        <f t="shared" si="9"/>
        <v>240</v>
      </c>
      <c r="W29" s="26">
        <f t="shared" si="10"/>
        <v>280</v>
      </c>
      <c r="X29" s="26">
        <f t="shared" si="11"/>
        <v>320</v>
      </c>
      <c r="Y29" s="26">
        <f t="shared" si="12"/>
        <v>360</v>
      </c>
      <c r="Z29" s="26">
        <f t="shared" si="13"/>
        <v>400</v>
      </c>
      <c r="AA29" s="1" t="s">
        <v>45</v>
      </c>
      <c r="AB29" s="16" t="s">
        <v>234</v>
      </c>
    </row>
    <row r="30" spans="1:30" s="25" customFormat="1" ht="51" x14ac:dyDescent="0.25">
      <c r="A30" s="30">
        <v>12</v>
      </c>
      <c r="B30" s="34" t="s">
        <v>172</v>
      </c>
      <c r="C30" s="30" t="s">
        <v>166</v>
      </c>
      <c r="D30" s="30" t="s">
        <v>123</v>
      </c>
      <c r="E30" s="30">
        <v>2023</v>
      </c>
      <c r="F30" s="30" t="s">
        <v>173</v>
      </c>
      <c r="G30" s="35">
        <v>2500</v>
      </c>
      <c r="H30" s="26"/>
      <c r="I30" s="26">
        <f>+G30</f>
        <v>2500</v>
      </c>
      <c r="J30" s="26">
        <v>1700</v>
      </c>
      <c r="K30" s="26">
        <f t="shared" si="27"/>
        <v>400</v>
      </c>
      <c r="L30" s="26"/>
      <c r="M30" s="26">
        <v>400</v>
      </c>
      <c r="N30" s="26">
        <f t="shared" si="28"/>
        <v>860</v>
      </c>
      <c r="O30" s="26">
        <f t="shared" si="2"/>
        <v>40</v>
      </c>
      <c r="P30" s="26">
        <f t="shared" si="3"/>
        <v>80</v>
      </c>
      <c r="Q30" s="26">
        <f t="shared" si="4"/>
        <v>480</v>
      </c>
      <c r="R30" s="26">
        <f t="shared" si="5"/>
        <v>120</v>
      </c>
      <c r="S30" s="26">
        <f t="shared" si="6"/>
        <v>140</v>
      </c>
      <c r="T30" s="26">
        <f t="shared" si="7"/>
        <v>160</v>
      </c>
      <c r="U30" s="26">
        <f t="shared" si="8"/>
        <v>200</v>
      </c>
      <c r="V30" s="26">
        <f t="shared" si="9"/>
        <v>240</v>
      </c>
      <c r="W30" s="26">
        <f t="shared" si="10"/>
        <v>280</v>
      </c>
      <c r="X30" s="26">
        <f t="shared" si="11"/>
        <v>320</v>
      </c>
      <c r="Y30" s="26">
        <f t="shared" si="12"/>
        <v>360</v>
      </c>
      <c r="Z30" s="26">
        <f t="shared" si="13"/>
        <v>400</v>
      </c>
      <c r="AA30" s="1" t="s">
        <v>45</v>
      </c>
      <c r="AB30" s="16" t="s">
        <v>234</v>
      </c>
    </row>
    <row r="31" spans="1:30" s="28" customFormat="1" ht="25.5" x14ac:dyDescent="0.25">
      <c r="A31" s="19" t="s">
        <v>29</v>
      </c>
      <c r="B31" s="23" t="s">
        <v>227</v>
      </c>
      <c r="C31" s="27"/>
      <c r="D31" s="27"/>
      <c r="E31" s="19"/>
      <c r="F31" s="27"/>
      <c r="G31" s="21">
        <f>+G32</f>
        <v>24200</v>
      </c>
      <c r="H31" s="21">
        <f t="shared" ref="H31:N31" si="29">+H32</f>
        <v>0</v>
      </c>
      <c r="I31" s="21">
        <f t="shared" si="29"/>
        <v>0</v>
      </c>
      <c r="J31" s="21">
        <f t="shared" si="29"/>
        <v>12278</v>
      </c>
      <c r="K31" s="21">
        <f t="shared" si="29"/>
        <v>11922</v>
      </c>
      <c r="L31" s="21">
        <f t="shared" si="29"/>
        <v>0</v>
      </c>
      <c r="M31" s="21">
        <f t="shared" si="29"/>
        <v>11922</v>
      </c>
      <c r="N31" s="21">
        <f t="shared" si="29"/>
        <v>25632.3</v>
      </c>
      <c r="O31" s="21">
        <f t="shared" si="2"/>
        <v>1192.2</v>
      </c>
      <c r="P31" s="21">
        <f t="shared" si="3"/>
        <v>2384.4</v>
      </c>
      <c r="Q31" s="21">
        <f t="shared" si="4"/>
        <v>14306.4</v>
      </c>
      <c r="R31" s="21">
        <f t="shared" si="5"/>
        <v>3576.6</v>
      </c>
      <c r="S31" s="21">
        <f t="shared" si="6"/>
        <v>4172.7</v>
      </c>
      <c r="T31" s="21">
        <f t="shared" si="7"/>
        <v>4768.8</v>
      </c>
      <c r="U31" s="21">
        <f t="shared" si="8"/>
        <v>5961</v>
      </c>
      <c r="V31" s="21">
        <f t="shared" si="9"/>
        <v>7153.2</v>
      </c>
      <c r="W31" s="21">
        <f t="shared" si="10"/>
        <v>8345.4</v>
      </c>
      <c r="X31" s="21">
        <f t="shared" si="11"/>
        <v>9537.6</v>
      </c>
      <c r="Y31" s="21">
        <f t="shared" si="12"/>
        <v>10729.800000000001</v>
      </c>
      <c r="Z31" s="21">
        <f t="shared" si="13"/>
        <v>11922</v>
      </c>
      <c r="AA31" s="27"/>
      <c r="AB31" s="19"/>
    </row>
    <row r="32" spans="1:30" s="28" customFormat="1" ht="63.75" x14ac:dyDescent="0.25">
      <c r="A32" s="19" t="s">
        <v>146</v>
      </c>
      <c r="B32" s="23" t="s">
        <v>183</v>
      </c>
      <c r="C32" s="27"/>
      <c r="D32" s="27"/>
      <c r="E32" s="14"/>
      <c r="F32" s="27"/>
      <c r="G32" s="21">
        <f>+G33+G34</f>
        <v>24200</v>
      </c>
      <c r="H32" s="21">
        <f t="shared" ref="H32:N32" si="30">+H33+H34</f>
        <v>0</v>
      </c>
      <c r="I32" s="21">
        <f t="shared" si="30"/>
        <v>0</v>
      </c>
      <c r="J32" s="21">
        <f t="shared" si="30"/>
        <v>12278</v>
      </c>
      <c r="K32" s="21">
        <f t="shared" si="30"/>
        <v>11922</v>
      </c>
      <c r="L32" s="21">
        <f t="shared" si="30"/>
        <v>0</v>
      </c>
      <c r="M32" s="21">
        <f t="shared" si="30"/>
        <v>11922</v>
      </c>
      <c r="N32" s="21">
        <f t="shared" si="30"/>
        <v>25632.3</v>
      </c>
      <c r="O32" s="21">
        <f t="shared" si="2"/>
        <v>1192.2</v>
      </c>
      <c r="P32" s="21">
        <f t="shared" si="3"/>
        <v>2384.4</v>
      </c>
      <c r="Q32" s="21">
        <f t="shared" si="4"/>
        <v>14306.4</v>
      </c>
      <c r="R32" s="21">
        <f t="shared" si="5"/>
        <v>3576.6</v>
      </c>
      <c r="S32" s="21">
        <f t="shared" si="6"/>
        <v>4172.7</v>
      </c>
      <c r="T32" s="21">
        <f t="shared" si="7"/>
        <v>4768.8</v>
      </c>
      <c r="U32" s="21">
        <f t="shared" si="8"/>
        <v>5961</v>
      </c>
      <c r="V32" s="21">
        <f t="shared" si="9"/>
        <v>7153.2</v>
      </c>
      <c r="W32" s="21">
        <f t="shared" si="10"/>
        <v>8345.4</v>
      </c>
      <c r="X32" s="21">
        <f t="shared" si="11"/>
        <v>9537.6</v>
      </c>
      <c r="Y32" s="21">
        <f t="shared" si="12"/>
        <v>10729.800000000001</v>
      </c>
      <c r="Z32" s="21">
        <f t="shared" si="13"/>
        <v>11922</v>
      </c>
      <c r="AA32" s="27"/>
      <c r="AB32" s="19"/>
    </row>
    <row r="33" spans="1:28" s="25" customFormat="1" ht="51" x14ac:dyDescent="0.25">
      <c r="A33" s="16">
        <v>13</v>
      </c>
      <c r="B33" s="34" t="s">
        <v>196</v>
      </c>
      <c r="C33" s="30" t="s">
        <v>41</v>
      </c>
      <c r="D33" s="30" t="s">
        <v>214</v>
      </c>
      <c r="E33" s="30" t="s">
        <v>61</v>
      </c>
      <c r="F33" s="24"/>
      <c r="G33" s="26">
        <v>12000</v>
      </c>
      <c r="H33" s="26"/>
      <c r="I33" s="26"/>
      <c r="J33" s="26">
        <v>6892</v>
      </c>
      <c r="K33" s="26">
        <f t="shared" ref="K33:K34" si="31">+L33+M33</f>
        <v>5108</v>
      </c>
      <c r="L33" s="26"/>
      <c r="M33" s="26">
        <v>5108</v>
      </c>
      <c r="N33" s="26">
        <f t="shared" ref="N33:N34" si="32">+O33+P33+Q33+R33+S33</f>
        <v>10982.199999999999</v>
      </c>
      <c r="O33" s="26">
        <f t="shared" si="2"/>
        <v>510.8</v>
      </c>
      <c r="P33" s="26">
        <f t="shared" si="3"/>
        <v>1021.6</v>
      </c>
      <c r="Q33" s="26">
        <f t="shared" si="4"/>
        <v>6129.5999999999995</v>
      </c>
      <c r="R33" s="26">
        <f t="shared" si="5"/>
        <v>1532.3999999999999</v>
      </c>
      <c r="S33" s="26">
        <f t="shared" si="6"/>
        <v>1787.8</v>
      </c>
      <c r="T33" s="26">
        <f t="shared" si="7"/>
        <v>2043.2</v>
      </c>
      <c r="U33" s="26">
        <f t="shared" si="8"/>
        <v>2554</v>
      </c>
      <c r="V33" s="26">
        <f t="shared" si="9"/>
        <v>3064.7999999999997</v>
      </c>
      <c r="W33" s="26">
        <f t="shared" si="10"/>
        <v>3575.6</v>
      </c>
      <c r="X33" s="26">
        <f t="shared" si="11"/>
        <v>4086.4</v>
      </c>
      <c r="Y33" s="26">
        <f t="shared" si="12"/>
        <v>4597.2</v>
      </c>
      <c r="Z33" s="26">
        <f t="shared" si="13"/>
        <v>5108</v>
      </c>
      <c r="AA33" s="30" t="s">
        <v>45</v>
      </c>
      <c r="AB33" s="16" t="s">
        <v>234</v>
      </c>
    </row>
    <row r="34" spans="1:28" s="25" customFormat="1" ht="51" x14ac:dyDescent="0.25">
      <c r="A34" s="16">
        <v>14</v>
      </c>
      <c r="B34" s="34" t="s">
        <v>197</v>
      </c>
      <c r="C34" s="30" t="s">
        <v>198</v>
      </c>
      <c r="D34" s="30" t="s">
        <v>214</v>
      </c>
      <c r="E34" s="30" t="s">
        <v>61</v>
      </c>
      <c r="F34" s="24"/>
      <c r="G34" s="26">
        <v>12200</v>
      </c>
      <c r="H34" s="26"/>
      <c r="I34" s="26"/>
      <c r="J34" s="26">
        <v>5386</v>
      </c>
      <c r="K34" s="26">
        <f t="shared" si="31"/>
        <v>6814</v>
      </c>
      <c r="L34" s="26"/>
      <c r="M34" s="26">
        <v>6814</v>
      </c>
      <c r="N34" s="26">
        <f t="shared" si="32"/>
        <v>14650.1</v>
      </c>
      <c r="O34" s="26">
        <f t="shared" si="2"/>
        <v>681.40000000000009</v>
      </c>
      <c r="P34" s="26">
        <f t="shared" si="3"/>
        <v>1362.8000000000002</v>
      </c>
      <c r="Q34" s="26">
        <f t="shared" si="4"/>
        <v>8176.7999999999993</v>
      </c>
      <c r="R34" s="26">
        <f t="shared" si="5"/>
        <v>2044.1999999999998</v>
      </c>
      <c r="S34" s="26">
        <f t="shared" si="6"/>
        <v>2384.8999999999996</v>
      </c>
      <c r="T34" s="26">
        <f t="shared" si="7"/>
        <v>2725.6000000000004</v>
      </c>
      <c r="U34" s="26">
        <f t="shared" si="8"/>
        <v>3407</v>
      </c>
      <c r="V34" s="26">
        <f t="shared" si="9"/>
        <v>4088.3999999999996</v>
      </c>
      <c r="W34" s="26">
        <f t="shared" si="10"/>
        <v>4769.7999999999993</v>
      </c>
      <c r="X34" s="26">
        <f t="shared" si="11"/>
        <v>5451.2000000000007</v>
      </c>
      <c r="Y34" s="26">
        <f t="shared" si="12"/>
        <v>6132.6</v>
      </c>
      <c r="Z34" s="26">
        <f t="shared" si="13"/>
        <v>6814</v>
      </c>
      <c r="AA34" s="30" t="s">
        <v>45</v>
      </c>
      <c r="AB34" s="16" t="s">
        <v>234</v>
      </c>
    </row>
    <row r="35" spans="1:28" s="56" customFormat="1" ht="12.75" x14ac:dyDescent="0.2">
      <c r="A35" s="54"/>
      <c r="B35" s="55"/>
      <c r="E35" s="54"/>
      <c r="K35" s="57"/>
      <c r="L35" s="57"/>
      <c r="M35" s="57"/>
      <c r="N35" s="57"/>
      <c r="O35" s="57"/>
      <c r="P35" s="57"/>
      <c r="Q35" s="57"/>
      <c r="R35" s="57"/>
      <c r="S35" s="57"/>
      <c r="T35" s="57"/>
      <c r="U35" s="57"/>
      <c r="V35" s="57"/>
      <c r="W35" s="57"/>
      <c r="X35" s="57"/>
      <c r="Y35" s="57"/>
      <c r="Z35" s="57"/>
      <c r="AB35" s="58"/>
    </row>
    <row r="36" spans="1:28" s="56" customFormat="1" ht="12.75" x14ac:dyDescent="0.2">
      <c r="A36" s="54"/>
      <c r="B36" s="55"/>
      <c r="E36" s="54"/>
      <c r="K36" s="57"/>
      <c r="L36" s="57"/>
      <c r="M36" s="57"/>
      <c r="N36" s="57"/>
      <c r="O36" s="57"/>
      <c r="P36" s="57"/>
      <c r="Q36" s="57"/>
      <c r="R36" s="57"/>
      <c r="S36" s="57"/>
      <c r="T36" s="57"/>
      <c r="U36" s="57"/>
      <c r="V36" s="57"/>
      <c r="W36" s="57"/>
      <c r="X36" s="57"/>
      <c r="Y36" s="57"/>
      <c r="Z36" s="57"/>
      <c r="AB36" s="58"/>
    </row>
    <row r="37" spans="1:28" s="56" customFormat="1" ht="12.75" x14ac:dyDescent="0.2">
      <c r="A37" s="54"/>
      <c r="B37" s="55"/>
      <c r="E37" s="54"/>
      <c r="K37" s="57"/>
      <c r="L37" s="57"/>
      <c r="M37" s="57"/>
      <c r="N37" s="57"/>
      <c r="O37" s="57"/>
      <c r="P37" s="57"/>
      <c r="Q37" s="57"/>
      <c r="R37" s="57"/>
      <c r="S37" s="57"/>
      <c r="T37" s="57"/>
      <c r="U37" s="57"/>
      <c r="V37" s="57"/>
      <c r="W37" s="57"/>
      <c r="X37" s="57"/>
      <c r="Y37" s="57"/>
      <c r="Z37" s="57"/>
      <c r="AB37" s="58"/>
    </row>
    <row r="38" spans="1:28" s="56" customFormat="1" ht="12.75" x14ac:dyDescent="0.2">
      <c r="A38" s="54"/>
      <c r="B38" s="55"/>
      <c r="E38" s="54"/>
      <c r="K38" s="57"/>
      <c r="L38" s="57"/>
      <c r="M38" s="57"/>
      <c r="N38" s="57"/>
      <c r="O38" s="57"/>
      <c r="P38" s="57"/>
      <c r="Q38" s="57"/>
      <c r="R38" s="57"/>
      <c r="S38" s="57"/>
      <c r="T38" s="57"/>
      <c r="U38" s="57"/>
      <c r="V38" s="57"/>
      <c r="W38" s="57"/>
      <c r="X38" s="57"/>
      <c r="Y38" s="57"/>
      <c r="Z38" s="57"/>
      <c r="AB38" s="58"/>
    </row>
    <row r="39" spans="1:28" s="56" customFormat="1" ht="12.75" x14ac:dyDescent="0.2">
      <c r="A39" s="54"/>
      <c r="B39" s="55"/>
      <c r="E39" s="54"/>
      <c r="K39" s="57"/>
      <c r="L39" s="57"/>
      <c r="M39" s="57"/>
      <c r="N39" s="57"/>
      <c r="O39" s="57"/>
      <c r="P39" s="57"/>
      <c r="Q39" s="57"/>
      <c r="R39" s="57"/>
      <c r="S39" s="57"/>
      <c r="T39" s="57"/>
      <c r="U39" s="57"/>
      <c r="V39" s="57"/>
      <c r="W39" s="57"/>
      <c r="X39" s="57"/>
      <c r="Y39" s="57"/>
      <c r="Z39" s="57"/>
      <c r="AB39" s="58"/>
    </row>
    <row r="40" spans="1:28" s="56" customFormat="1" ht="12.75" x14ac:dyDescent="0.2">
      <c r="A40" s="54"/>
      <c r="B40" s="55"/>
      <c r="E40" s="54"/>
      <c r="K40" s="57"/>
      <c r="L40" s="57"/>
      <c r="M40" s="57"/>
      <c r="N40" s="57"/>
      <c r="O40" s="57"/>
      <c r="P40" s="57"/>
      <c r="Q40" s="57"/>
      <c r="R40" s="57"/>
      <c r="S40" s="57"/>
      <c r="T40" s="57"/>
      <c r="U40" s="57"/>
      <c r="V40" s="57"/>
      <c r="W40" s="57"/>
      <c r="X40" s="57"/>
      <c r="Y40" s="57"/>
      <c r="Z40" s="57"/>
      <c r="AB40" s="58"/>
    </row>
    <row r="41" spans="1:28" s="56" customFormat="1" ht="12.75" x14ac:dyDescent="0.2">
      <c r="A41" s="54"/>
      <c r="B41" s="55"/>
      <c r="E41" s="54"/>
      <c r="K41" s="57"/>
      <c r="L41" s="57"/>
      <c r="M41" s="57"/>
      <c r="N41" s="57"/>
      <c r="O41" s="57"/>
      <c r="P41" s="57"/>
      <c r="Q41" s="57"/>
      <c r="R41" s="57"/>
      <c r="S41" s="57"/>
      <c r="T41" s="57"/>
      <c r="U41" s="57"/>
      <c r="V41" s="57"/>
      <c r="W41" s="57"/>
      <c r="X41" s="57"/>
      <c r="Y41" s="57"/>
      <c r="Z41" s="57"/>
      <c r="AB41" s="58"/>
    </row>
    <row r="42" spans="1:28" s="56" customFormat="1" ht="12.75" x14ac:dyDescent="0.2">
      <c r="A42" s="54"/>
      <c r="B42" s="55"/>
      <c r="E42" s="54"/>
      <c r="K42" s="57"/>
      <c r="L42" s="57"/>
      <c r="M42" s="57"/>
      <c r="N42" s="57"/>
      <c r="O42" s="57"/>
      <c r="P42" s="57"/>
      <c r="Q42" s="57"/>
      <c r="R42" s="57"/>
      <c r="S42" s="57"/>
      <c r="T42" s="57"/>
      <c r="U42" s="57"/>
      <c r="V42" s="57"/>
      <c r="W42" s="57"/>
      <c r="X42" s="57"/>
      <c r="Y42" s="57"/>
      <c r="Z42" s="57"/>
      <c r="AB42" s="58"/>
    </row>
    <row r="43" spans="1:28" s="56" customFormat="1" ht="12.75" x14ac:dyDescent="0.2">
      <c r="A43" s="54"/>
      <c r="B43" s="55"/>
      <c r="E43" s="54"/>
      <c r="K43" s="57"/>
      <c r="L43" s="57"/>
      <c r="M43" s="57"/>
      <c r="N43" s="57"/>
      <c r="O43" s="57"/>
      <c r="P43" s="57"/>
      <c r="Q43" s="57"/>
      <c r="R43" s="57"/>
      <c r="S43" s="57"/>
      <c r="T43" s="57"/>
      <c r="U43" s="57"/>
      <c r="V43" s="57"/>
      <c r="W43" s="57"/>
      <c r="X43" s="57"/>
      <c r="Y43" s="57"/>
      <c r="Z43" s="57"/>
      <c r="AB43" s="58"/>
    </row>
    <row r="44" spans="1:28" s="56" customFormat="1" ht="12.75" x14ac:dyDescent="0.2">
      <c r="A44" s="54"/>
      <c r="B44" s="55"/>
      <c r="E44" s="54"/>
      <c r="K44" s="57"/>
      <c r="L44" s="57"/>
      <c r="M44" s="57"/>
      <c r="N44" s="57"/>
      <c r="O44" s="57"/>
      <c r="P44" s="57"/>
      <c r="Q44" s="57"/>
      <c r="R44" s="57"/>
      <c r="S44" s="57"/>
      <c r="T44" s="57"/>
      <c r="U44" s="57"/>
      <c r="V44" s="57"/>
      <c r="W44" s="57"/>
      <c r="X44" s="57"/>
      <c r="Y44" s="57"/>
      <c r="Z44" s="57"/>
      <c r="AB44" s="58"/>
    </row>
    <row r="45" spans="1:28" s="56" customFormat="1" ht="12.75" x14ac:dyDescent="0.2">
      <c r="A45" s="54"/>
      <c r="B45" s="55"/>
      <c r="E45" s="54"/>
      <c r="K45" s="57"/>
      <c r="L45" s="57"/>
      <c r="M45" s="57"/>
      <c r="N45" s="57"/>
      <c r="O45" s="57"/>
      <c r="P45" s="57"/>
      <c r="Q45" s="57"/>
      <c r="R45" s="57"/>
      <c r="S45" s="57"/>
      <c r="T45" s="57"/>
      <c r="U45" s="57"/>
      <c r="V45" s="57"/>
      <c r="W45" s="57"/>
      <c r="X45" s="57"/>
      <c r="Y45" s="57"/>
      <c r="Z45" s="57"/>
      <c r="AB45" s="58"/>
    </row>
    <row r="46" spans="1:28" s="56" customFormat="1" ht="12.75" x14ac:dyDescent="0.2">
      <c r="A46" s="54"/>
      <c r="B46" s="55"/>
      <c r="E46" s="54"/>
      <c r="K46" s="57"/>
      <c r="L46" s="57"/>
      <c r="M46" s="57"/>
      <c r="N46" s="57"/>
      <c r="O46" s="57"/>
      <c r="P46" s="57"/>
      <c r="Q46" s="57"/>
      <c r="R46" s="57"/>
      <c r="S46" s="57"/>
      <c r="T46" s="57"/>
      <c r="U46" s="57"/>
      <c r="V46" s="57"/>
      <c r="W46" s="57"/>
      <c r="X46" s="57"/>
      <c r="Y46" s="57"/>
      <c r="Z46" s="57"/>
      <c r="AB46" s="58"/>
    </row>
    <row r="47" spans="1:28" s="56" customFormat="1" ht="12.75" x14ac:dyDescent="0.2">
      <c r="A47" s="54"/>
      <c r="B47" s="55"/>
      <c r="E47" s="54"/>
      <c r="K47" s="57"/>
      <c r="L47" s="57"/>
      <c r="M47" s="57"/>
      <c r="N47" s="57"/>
      <c r="O47" s="57"/>
      <c r="P47" s="57"/>
      <c r="Q47" s="57"/>
      <c r="R47" s="57"/>
      <c r="S47" s="57"/>
      <c r="T47" s="57"/>
      <c r="U47" s="57"/>
      <c r="V47" s="57"/>
      <c r="W47" s="57"/>
      <c r="X47" s="57"/>
      <c r="Y47" s="57"/>
      <c r="Z47" s="57"/>
      <c r="AB47" s="58"/>
    </row>
    <row r="48" spans="1:28" s="56" customFormat="1" ht="12.75" x14ac:dyDescent="0.2">
      <c r="A48" s="54"/>
      <c r="B48" s="55"/>
      <c r="E48" s="54"/>
      <c r="K48" s="57"/>
      <c r="L48" s="57"/>
      <c r="M48" s="57"/>
      <c r="N48" s="57"/>
      <c r="O48" s="57"/>
      <c r="P48" s="57"/>
      <c r="Q48" s="57"/>
      <c r="R48" s="57"/>
      <c r="S48" s="57"/>
      <c r="T48" s="57"/>
      <c r="U48" s="57"/>
      <c r="V48" s="57"/>
      <c r="W48" s="57"/>
      <c r="X48" s="57"/>
      <c r="Y48" s="57"/>
      <c r="Z48" s="57"/>
      <c r="AB48" s="58"/>
    </row>
    <row r="49" spans="1:28" s="56" customFormat="1" ht="12.75" x14ac:dyDescent="0.2">
      <c r="A49" s="54"/>
      <c r="B49" s="55"/>
      <c r="E49" s="54"/>
      <c r="K49" s="57"/>
      <c r="L49" s="57"/>
      <c r="M49" s="57"/>
      <c r="N49" s="57"/>
      <c r="O49" s="57"/>
      <c r="P49" s="57"/>
      <c r="Q49" s="57"/>
      <c r="R49" s="57"/>
      <c r="S49" s="57"/>
      <c r="T49" s="57"/>
      <c r="U49" s="57"/>
      <c r="V49" s="57"/>
      <c r="W49" s="57"/>
      <c r="X49" s="57"/>
      <c r="Y49" s="57"/>
      <c r="Z49" s="57"/>
      <c r="AB49" s="58"/>
    </row>
    <row r="50" spans="1:28" s="56" customFormat="1" ht="12.75" x14ac:dyDescent="0.2">
      <c r="A50" s="54"/>
      <c r="B50" s="55"/>
      <c r="E50" s="54"/>
      <c r="K50" s="57"/>
      <c r="L50" s="57"/>
      <c r="M50" s="57"/>
      <c r="N50" s="57"/>
      <c r="O50" s="57"/>
      <c r="P50" s="57"/>
      <c r="Q50" s="57"/>
      <c r="R50" s="57"/>
      <c r="S50" s="57"/>
      <c r="T50" s="57"/>
      <c r="U50" s="57"/>
      <c r="V50" s="57"/>
      <c r="W50" s="57"/>
      <c r="X50" s="57"/>
      <c r="Y50" s="57"/>
      <c r="Z50" s="57"/>
      <c r="AB50" s="58"/>
    </row>
    <row r="51" spans="1:28" s="56" customFormat="1" ht="12.75" x14ac:dyDescent="0.2">
      <c r="A51" s="54"/>
      <c r="B51" s="55"/>
      <c r="E51" s="54"/>
      <c r="K51" s="57"/>
      <c r="L51" s="57"/>
      <c r="M51" s="57"/>
      <c r="N51" s="57"/>
      <c r="O51" s="57"/>
      <c r="P51" s="57"/>
      <c r="Q51" s="57"/>
      <c r="R51" s="57"/>
      <c r="S51" s="57"/>
      <c r="T51" s="57"/>
      <c r="U51" s="57"/>
      <c r="V51" s="57"/>
      <c r="W51" s="57"/>
      <c r="X51" s="57"/>
      <c r="Y51" s="57"/>
      <c r="Z51" s="57"/>
      <c r="AB51" s="58"/>
    </row>
    <row r="52" spans="1:28" s="56" customFormat="1" ht="12.75" x14ac:dyDescent="0.2">
      <c r="A52" s="54"/>
      <c r="B52" s="55"/>
      <c r="E52" s="54"/>
      <c r="K52" s="57"/>
      <c r="L52" s="57"/>
      <c r="M52" s="57"/>
      <c r="N52" s="57"/>
      <c r="O52" s="57"/>
      <c r="P52" s="57"/>
      <c r="Q52" s="57"/>
      <c r="R52" s="57"/>
      <c r="S52" s="57"/>
      <c r="T52" s="57"/>
      <c r="U52" s="57"/>
      <c r="V52" s="57"/>
      <c r="W52" s="57"/>
      <c r="X52" s="57"/>
      <c r="Y52" s="57"/>
      <c r="Z52" s="57"/>
      <c r="AB52" s="58"/>
    </row>
    <row r="53" spans="1:28" s="56" customFormat="1" ht="12.75" x14ac:dyDescent="0.2">
      <c r="A53" s="54"/>
      <c r="B53" s="55"/>
      <c r="E53" s="54"/>
      <c r="K53" s="57"/>
      <c r="L53" s="57"/>
      <c r="M53" s="57"/>
      <c r="N53" s="57"/>
      <c r="O53" s="57"/>
      <c r="P53" s="57"/>
      <c r="Q53" s="57"/>
      <c r="R53" s="57"/>
      <c r="S53" s="57"/>
      <c r="T53" s="57"/>
      <c r="U53" s="57"/>
      <c r="V53" s="57"/>
      <c r="W53" s="57"/>
      <c r="X53" s="57"/>
      <c r="Y53" s="57"/>
      <c r="Z53" s="57"/>
      <c r="AB53" s="58"/>
    </row>
    <row r="54" spans="1:28" s="56" customFormat="1" ht="12.75" x14ac:dyDescent="0.2">
      <c r="A54" s="54"/>
      <c r="B54" s="55"/>
      <c r="E54" s="54"/>
      <c r="K54" s="57"/>
      <c r="L54" s="57"/>
      <c r="M54" s="57"/>
      <c r="N54" s="57"/>
      <c r="O54" s="57"/>
      <c r="P54" s="57"/>
      <c r="Q54" s="57"/>
      <c r="R54" s="57"/>
      <c r="S54" s="57"/>
      <c r="T54" s="57"/>
      <c r="U54" s="57"/>
      <c r="V54" s="57"/>
      <c r="W54" s="57"/>
      <c r="X54" s="57"/>
      <c r="Y54" s="57"/>
      <c r="Z54" s="57"/>
      <c r="AB54" s="58"/>
    </row>
  </sheetData>
  <mergeCells count="20">
    <mergeCell ref="K5:K6"/>
    <mergeCell ref="L5:M5"/>
    <mergeCell ref="N5:N6"/>
    <mergeCell ref="N4:Z4"/>
    <mergeCell ref="O5:Z5"/>
    <mergeCell ref="K4:M4"/>
    <mergeCell ref="AA4:AA6"/>
    <mergeCell ref="AB4:AB6"/>
    <mergeCell ref="A1:AB1"/>
    <mergeCell ref="A2:AB2"/>
    <mergeCell ref="A4:A6"/>
    <mergeCell ref="B4:B6"/>
    <mergeCell ref="C4:C6"/>
    <mergeCell ref="D4:D6"/>
    <mergeCell ref="E4:E6"/>
    <mergeCell ref="F4:H4"/>
    <mergeCell ref="I4:I6"/>
    <mergeCell ref="J4:J6"/>
    <mergeCell ref="F5:F6"/>
    <mergeCell ref="G5:H5"/>
  </mergeCells>
  <pageMargins left="0.7" right="0.7" top="0.75" bottom="0.75" header="0.3" footer="0.3"/>
  <pageSetup paperSize="9" scale="26"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8500B-984A-445F-91BD-C8971E428351}">
  <sheetPr>
    <tabColor rgb="FFFFFF00"/>
  </sheetPr>
  <dimension ref="A1:AL78"/>
  <sheetViews>
    <sheetView tabSelected="1" zoomScale="85" zoomScaleNormal="85" workbookViewId="0">
      <pane xSplit="2" ySplit="8" topLeftCell="C9" activePane="bottomRight" state="frozen"/>
      <selection pane="topRight" activeCell="C1" sqref="C1"/>
      <selection pane="bottomLeft" activeCell="A9" sqref="A9"/>
      <selection pane="bottomRight" activeCell="Q17" sqref="Q17"/>
    </sheetView>
  </sheetViews>
  <sheetFormatPr defaultColWidth="9.140625" defaultRowHeight="15" x14ac:dyDescent="0.25"/>
  <cols>
    <col min="1" max="1" width="4.42578125" style="59" bestFit="1" customWidth="1"/>
    <col min="2" max="2" width="32.7109375" style="60" bestFit="1" customWidth="1"/>
    <col min="3" max="3" width="8.28515625" bestFit="1" customWidth="1"/>
    <col min="4" max="4" width="8.5703125" bestFit="1" customWidth="1"/>
    <col min="5" max="5" width="9" style="59" bestFit="1" customWidth="1"/>
    <col min="6" max="6" width="10.28515625" customWidth="1"/>
    <col min="7" max="7" width="11.28515625" bestFit="1" customWidth="1"/>
    <col min="8" max="8" width="9.28515625" bestFit="1" customWidth="1"/>
    <col min="9" max="9" width="11" customWidth="1"/>
    <col min="10" max="10" width="12.28515625" bestFit="1" customWidth="1"/>
    <col min="11" max="11" width="10.28515625" style="61" bestFit="1" customWidth="1"/>
    <col min="12" max="12" width="10.7109375" style="61" bestFit="1" customWidth="1"/>
    <col min="13" max="13" width="10.28515625" style="61" bestFit="1" customWidth="1"/>
    <col min="14" max="14" width="10.28515625" style="61" hidden="1" customWidth="1"/>
    <col min="15" max="19" width="10.28515625" style="61" customWidth="1"/>
    <col min="20" max="20" width="13.7109375" style="61" customWidth="1"/>
    <col min="21" max="21" width="14.42578125" style="61" customWidth="1"/>
    <col min="22" max="22" width="13.7109375" style="61" customWidth="1"/>
    <col min="23" max="23" width="13" style="61" customWidth="1"/>
    <col min="24" max="24" width="14.28515625" style="61" customWidth="1"/>
    <col min="25" max="25" width="7.7109375" bestFit="1" customWidth="1"/>
    <col min="26" max="26" width="7.28515625" style="62" bestFit="1" customWidth="1"/>
  </cols>
  <sheetData>
    <row r="1" spans="1:38" s="9" customFormat="1" ht="15.75" x14ac:dyDescent="0.2">
      <c r="A1" s="78" t="s">
        <v>18</v>
      </c>
      <c r="B1" s="78"/>
      <c r="C1" s="78"/>
      <c r="D1" s="78"/>
      <c r="E1" s="78"/>
      <c r="F1" s="78"/>
      <c r="G1" s="78"/>
      <c r="H1" s="78"/>
      <c r="I1" s="78"/>
      <c r="J1" s="78"/>
      <c r="K1" s="78"/>
      <c r="L1" s="78"/>
      <c r="M1" s="78"/>
      <c r="N1" s="78"/>
      <c r="O1" s="78"/>
      <c r="P1" s="78"/>
      <c r="Q1" s="78"/>
      <c r="R1" s="78"/>
      <c r="S1" s="78"/>
      <c r="T1" s="78"/>
      <c r="U1" s="78"/>
      <c r="V1" s="78"/>
      <c r="W1" s="78"/>
      <c r="X1" s="78"/>
      <c r="Y1" s="78"/>
      <c r="Z1" s="78"/>
      <c r="AA1" s="5"/>
      <c r="AB1" s="6"/>
      <c r="AC1" s="5"/>
      <c r="AD1" s="5"/>
      <c r="AE1" s="7"/>
      <c r="AF1" s="7"/>
      <c r="AG1" s="7"/>
      <c r="AH1" s="7"/>
      <c r="AI1" s="7"/>
      <c r="AJ1" s="7"/>
      <c r="AK1" s="8"/>
      <c r="AL1" s="8"/>
    </row>
    <row r="2" spans="1:38" s="9" customFormat="1" ht="15.75" x14ac:dyDescent="0.2">
      <c r="A2" s="94" t="str">
        <f>'Nhom Da Chuyen tiep'!A2:AB2</f>
        <v>(Kèm theo Kế hoạch số      /KH-UBND ngày 26/4/2024 của UBND huyện Bắc Sơn)</v>
      </c>
      <c r="B2" s="94"/>
      <c r="C2" s="94"/>
      <c r="D2" s="94"/>
      <c r="E2" s="94"/>
      <c r="F2" s="94"/>
      <c r="G2" s="94"/>
      <c r="H2" s="94"/>
      <c r="I2" s="94"/>
      <c r="J2" s="94"/>
      <c r="K2" s="94"/>
      <c r="L2" s="94"/>
      <c r="M2" s="94"/>
      <c r="N2" s="94"/>
      <c r="O2" s="94"/>
      <c r="P2" s="94"/>
      <c r="Q2" s="94"/>
      <c r="R2" s="94"/>
      <c r="S2" s="94"/>
      <c r="T2" s="94"/>
      <c r="U2" s="94"/>
      <c r="V2" s="94"/>
      <c r="W2" s="94"/>
      <c r="X2" s="94"/>
      <c r="Y2" s="94"/>
      <c r="Z2" s="94"/>
      <c r="AA2" s="5"/>
      <c r="AB2" s="6"/>
      <c r="AC2" s="5"/>
      <c r="AD2" s="5"/>
      <c r="AE2" s="7"/>
      <c r="AF2" s="7"/>
      <c r="AG2" s="7"/>
      <c r="AH2" s="7"/>
      <c r="AI2" s="7"/>
      <c r="AJ2" s="7"/>
      <c r="AK2" s="8"/>
      <c r="AL2" s="8"/>
    </row>
    <row r="4" spans="1:38" s="10" customFormat="1" ht="26.25" customHeight="1" x14ac:dyDescent="0.25">
      <c r="A4" s="79" t="s">
        <v>0</v>
      </c>
      <c r="B4" s="79" t="s">
        <v>19</v>
      </c>
      <c r="C4" s="79" t="s">
        <v>1</v>
      </c>
      <c r="D4" s="82" t="s">
        <v>2</v>
      </c>
      <c r="E4" s="85" t="s">
        <v>3</v>
      </c>
      <c r="F4" s="88" t="s">
        <v>4</v>
      </c>
      <c r="G4" s="89"/>
      <c r="H4" s="90"/>
      <c r="I4" s="79" t="s">
        <v>20</v>
      </c>
      <c r="J4" s="79" t="s">
        <v>5</v>
      </c>
      <c r="K4" s="91" t="s">
        <v>6</v>
      </c>
      <c r="L4" s="92"/>
      <c r="M4" s="93"/>
      <c r="N4" s="97" t="s">
        <v>22</v>
      </c>
      <c r="O4" s="98"/>
      <c r="P4" s="98"/>
      <c r="Q4" s="98"/>
      <c r="R4" s="98"/>
      <c r="S4" s="98"/>
      <c r="T4" s="98"/>
      <c r="U4" s="98"/>
      <c r="V4" s="98"/>
      <c r="W4" s="98"/>
      <c r="X4" s="98"/>
      <c r="Y4" s="79" t="s">
        <v>7</v>
      </c>
      <c r="Z4" s="79" t="s">
        <v>8</v>
      </c>
    </row>
    <row r="5" spans="1:38" s="10" customFormat="1" ht="13.15" customHeight="1" x14ac:dyDescent="0.25">
      <c r="A5" s="80"/>
      <c r="B5" s="80"/>
      <c r="C5" s="80"/>
      <c r="D5" s="83"/>
      <c r="E5" s="86"/>
      <c r="F5" s="79" t="s">
        <v>9</v>
      </c>
      <c r="G5" s="88" t="s">
        <v>10</v>
      </c>
      <c r="H5" s="90"/>
      <c r="I5" s="80"/>
      <c r="J5" s="80"/>
      <c r="K5" s="79" t="s">
        <v>11</v>
      </c>
      <c r="L5" s="88" t="s">
        <v>12</v>
      </c>
      <c r="M5" s="90"/>
      <c r="N5" s="95" t="s">
        <v>11</v>
      </c>
      <c r="O5" s="103" t="s">
        <v>257</v>
      </c>
      <c r="P5" s="104"/>
      <c r="Q5" s="104"/>
      <c r="R5" s="104"/>
      <c r="S5" s="104"/>
      <c r="T5" s="104"/>
      <c r="U5" s="104"/>
      <c r="V5" s="104"/>
      <c r="W5" s="104"/>
      <c r="X5" s="105"/>
      <c r="Y5" s="80"/>
      <c r="Z5" s="80"/>
    </row>
    <row r="6" spans="1:38" s="10" customFormat="1" ht="55.5" customHeight="1" x14ac:dyDescent="0.25">
      <c r="A6" s="81"/>
      <c r="B6" s="81"/>
      <c r="C6" s="81"/>
      <c r="D6" s="84"/>
      <c r="E6" s="87"/>
      <c r="F6" s="81"/>
      <c r="G6" s="14" t="s">
        <v>11</v>
      </c>
      <c r="H6" s="14" t="s">
        <v>13</v>
      </c>
      <c r="I6" s="81"/>
      <c r="J6" s="81"/>
      <c r="K6" s="81"/>
      <c r="L6" s="14" t="s">
        <v>14</v>
      </c>
      <c r="M6" s="14" t="s">
        <v>15</v>
      </c>
      <c r="N6" s="96"/>
      <c r="O6" s="14" t="s">
        <v>332</v>
      </c>
      <c r="P6" s="14" t="s">
        <v>333</v>
      </c>
      <c r="Q6" s="14" t="s">
        <v>331</v>
      </c>
      <c r="R6" s="14" t="s">
        <v>334</v>
      </c>
      <c r="S6" s="14" t="s">
        <v>330</v>
      </c>
      <c r="T6" s="14" t="s">
        <v>28</v>
      </c>
      <c r="U6" s="14" t="s">
        <v>328</v>
      </c>
      <c r="V6" s="14" t="s">
        <v>258</v>
      </c>
      <c r="W6" s="14" t="s">
        <v>329</v>
      </c>
      <c r="X6" s="14" t="s">
        <v>26</v>
      </c>
      <c r="Y6" s="81"/>
      <c r="Z6" s="81"/>
      <c r="AB6" s="10" t="s">
        <v>23</v>
      </c>
    </row>
    <row r="7" spans="1:38" s="18" customFormat="1" ht="12.75" x14ac:dyDescent="0.25">
      <c r="A7" s="16">
        <v>1</v>
      </c>
      <c r="B7" s="17">
        <v>2</v>
      </c>
      <c r="C7" s="16">
        <v>3</v>
      </c>
      <c r="D7" s="16">
        <v>4</v>
      </c>
      <c r="E7" s="16">
        <v>5</v>
      </c>
      <c r="F7" s="16">
        <v>6</v>
      </c>
      <c r="G7" s="16">
        <v>7</v>
      </c>
      <c r="H7" s="16">
        <v>8</v>
      </c>
      <c r="I7" s="16">
        <v>9</v>
      </c>
      <c r="J7" s="16">
        <v>10</v>
      </c>
      <c r="K7" s="16" t="s">
        <v>16</v>
      </c>
      <c r="L7" s="16">
        <v>12</v>
      </c>
      <c r="M7" s="16">
        <v>13</v>
      </c>
      <c r="N7" s="16" t="s">
        <v>17</v>
      </c>
      <c r="O7" s="16">
        <v>14</v>
      </c>
      <c r="P7" s="16">
        <v>15</v>
      </c>
      <c r="Q7" s="16">
        <v>16</v>
      </c>
      <c r="R7" s="16">
        <v>17</v>
      </c>
      <c r="S7" s="16">
        <v>18</v>
      </c>
      <c r="T7" s="16">
        <v>19</v>
      </c>
      <c r="U7" s="16">
        <v>20</v>
      </c>
      <c r="V7" s="16">
        <v>21</v>
      </c>
      <c r="W7" s="16">
        <v>22</v>
      </c>
      <c r="X7" s="16">
        <v>23</v>
      </c>
      <c r="Y7" s="16">
        <v>24</v>
      </c>
      <c r="Z7" s="16">
        <v>25</v>
      </c>
    </row>
    <row r="8" spans="1:38" s="22" customFormat="1" ht="12.75" x14ac:dyDescent="0.25">
      <c r="A8" s="19"/>
      <c r="B8" s="20" t="s">
        <v>238</v>
      </c>
      <c r="C8" s="19"/>
      <c r="D8" s="19"/>
      <c r="E8" s="19"/>
      <c r="F8" s="19"/>
      <c r="G8" s="21">
        <f>G9</f>
        <v>122150.5</v>
      </c>
      <c r="H8" s="21">
        <f t="shared" ref="H8:N8" si="0">H9</f>
        <v>0</v>
      </c>
      <c r="I8" s="21">
        <f t="shared" si="0"/>
        <v>0</v>
      </c>
      <c r="J8" s="21">
        <f t="shared" si="0"/>
        <v>0</v>
      </c>
      <c r="K8" s="3">
        <f t="shared" si="0"/>
        <v>39085.4</v>
      </c>
      <c r="L8" s="21">
        <f t="shared" si="0"/>
        <v>38</v>
      </c>
      <c r="M8" s="21">
        <f t="shared" si="0"/>
        <v>39047.4</v>
      </c>
      <c r="N8" s="21">
        <f t="shared" si="0"/>
        <v>127524.82</v>
      </c>
      <c r="O8" s="21"/>
      <c r="P8" s="21"/>
      <c r="Q8" s="21"/>
      <c r="R8" s="21">
        <f>+K8*20%</f>
        <v>7817.0800000000008</v>
      </c>
      <c r="S8" s="21">
        <f>+K8*30%</f>
        <v>11725.62</v>
      </c>
      <c r="T8" s="21">
        <f>+K8*40%</f>
        <v>15634.160000000002</v>
      </c>
      <c r="U8" s="21">
        <f>+K8*50%</f>
        <v>19542.7</v>
      </c>
      <c r="V8" s="21">
        <f>+K8*60%</f>
        <v>23451.24</v>
      </c>
      <c r="W8" s="21">
        <f>+K8*80%</f>
        <v>31268.320000000003</v>
      </c>
      <c r="X8" s="3">
        <f>+K8*100%</f>
        <v>39085.4</v>
      </c>
      <c r="Y8" s="19"/>
      <c r="Z8" s="19"/>
    </row>
    <row r="9" spans="1:38" s="25" customFormat="1" ht="12.75" x14ac:dyDescent="0.25">
      <c r="A9" s="19" t="s">
        <v>29</v>
      </c>
      <c r="B9" s="23" t="s">
        <v>30</v>
      </c>
      <c r="C9" s="24"/>
      <c r="D9" s="24"/>
      <c r="E9" s="16"/>
      <c r="F9" s="24"/>
      <c r="G9" s="21">
        <f t="shared" ref="G9:N9" si="1">G10+G11</f>
        <v>122150.5</v>
      </c>
      <c r="H9" s="21">
        <f t="shared" si="1"/>
        <v>0</v>
      </c>
      <c r="I9" s="21">
        <f t="shared" si="1"/>
        <v>0</v>
      </c>
      <c r="J9" s="21">
        <f t="shared" si="1"/>
        <v>0</v>
      </c>
      <c r="K9" s="21">
        <f t="shared" si="1"/>
        <v>39085.4</v>
      </c>
      <c r="L9" s="21">
        <f t="shared" si="1"/>
        <v>38</v>
      </c>
      <c r="M9" s="21">
        <f t="shared" si="1"/>
        <v>39047.4</v>
      </c>
      <c r="N9" s="21">
        <f t="shared" si="1"/>
        <v>127524.82</v>
      </c>
      <c r="O9" s="21"/>
      <c r="P9" s="21"/>
      <c r="Q9" s="21"/>
      <c r="R9" s="21">
        <f t="shared" ref="R9:R62" si="2">+K9*20%</f>
        <v>7817.0800000000008</v>
      </c>
      <c r="S9" s="21">
        <f t="shared" ref="S9:S62" si="3">+K9*30%</f>
        <v>11725.62</v>
      </c>
      <c r="T9" s="21">
        <f>+K9*40%</f>
        <v>15634.160000000002</v>
      </c>
      <c r="U9" s="21">
        <f>+K9*50%</f>
        <v>19542.7</v>
      </c>
      <c r="V9" s="21">
        <f>+K9*60%</f>
        <v>23451.24</v>
      </c>
      <c r="W9" s="21">
        <f>+K9*80%</f>
        <v>31268.320000000003</v>
      </c>
      <c r="X9" s="21">
        <f>+K9*100%</f>
        <v>39085.4</v>
      </c>
      <c r="Y9" s="24"/>
      <c r="Z9" s="16"/>
    </row>
    <row r="10" spans="1:38" s="25" customFormat="1" ht="12.75" x14ac:dyDescent="0.25">
      <c r="A10" s="19" t="s">
        <v>31</v>
      </c>
      <c r="B10" s="23" t="s">
        <v>32</v>
      </c>
      <c r="C10" s="24"/>
      <c r="D10" s="24"/>
      <c r="E10" s="16"/>
      <c r="F10" s="24"/>
      <c r="G10" s="26"/>
      <c r="H10" s="26"/>
      <c r="I10" s="26"/>
      <c r="J10" s="26"/>
      <c r="K10" s="26"/>
      <c r="L10" s="26"/>
      <c r="M10" s="26"/>
      <c r="N10" s="26"/>
      <c r="O10" s="26"/>
      <c r="P10" s="26"/>
      <c r="Q10" s="26"/>
      <c r="R10" s="21">
        <f t="shared" si="2"/>
        <v>0</v>
      </c>
      <c r="S10" s="21">
        <f t="shared" si="3"/>
        <v>0</v>
      </c>
      <c r="T10" s="21"/>
      <c r="U10" s="21"/>
      <c r="V10" s="21"/>
      <c r="W10" s="21"/>
      <c r="X10" s="21"/>
      <c r="Y10" s="24"/>
      <c r="Z10" s="16"/>
    </row>
    <row r="11" spans="1:38" s="28" customFormat="1" ht="12.75" x14ac:dyDescent="0.25">
      <c r="A11" s="14" t="s">
        <v>36</v>
      </c>
      <c r="B11" s="23" t="s">
        <v>37</v>
      </c>
      <c r="C11" s="27"/>
      <c r="D11" s="27"/>
      <c r="E11" s="19"/>
      <c r="F11" s="27"/>
      <c r="G11" s="21">
        <f t="shared" ref="G11:J11" si="4">+G12+G15+G18+G21+G54+G59</f>
        <v>122150.5</v>
      </c>
      <c r="H11" s="21">
        <f t="shared" si="4"/>
        <v>0</v>
      </c>
      <c r="I11" s="21">
        <f t="shared" si="4"/>
        <v>0</v>
      </c>
      <c r="J11" s="21">
        <f t="shared" si="4"/>
        <v>0</v>
      </c>
      <c r="K11" s="21">
        <f>+K12+K15+K18+K21+K54+K59</f>
        <v>39085.4</v>
      </c>
      <c r="L11" s="21">
        <f t="shared" ref="L11:X11" si="5">+L12+L15+L18+L21+L54+L59</f>
        <v>38</v>
      </c>
      <c r="M11" s="21">
        <f t="shared" si="5"/>
        <v>39047.4</v>
      </c>
      <c r="N11" s="21">
        <f t="shared" si="5"/>
        <v>127524.82</v>
      </c>
      <c r="O11" s="21"/>
      <c r="P11" s="21"/>
      <c r="Q11" s="21"/>
      <c r="R11" s="21">
        <f t="shared" si="2"/>
        <v>7817.0800000000008</v>
      </c>
      <c r="S11" s="21">
        <f t="shared" si="3"/>
        <v>11725.62</v>
      </c>
      <c r="T11" s="21">
        <f>+T12+T15+T18+T21+T54+T59</f>
        <v>14218.96</v>
      </c>
      <c r="U11" s="21">
        <f t="shared" si="5"/>
        <v>19523.7</v>
      </c>
      <c r="V11" s="21">
        <f t="shared" si="5"/>
        <v>23428.44</v>
      </c>
      <c r="W11" s="21">
        <f t="shared" si="5"/>
        <v>31268.32</v>
      </c>
      <c r="X11" s="21">
        <f t="shared" si="5"/>
        <v>39085.4</v>
      </c>
      <c r="Y11" s="27"/>
      <c r="Z11" s="19"/>
    </row>
    <row r="12" spans="1:38" s="28" customFormat="1" ht="12.75" x14ac:dyDescent="0.25">
      <c r="A12" s="19" t="s">
        <v>39</v>
      </c>
      <c r="B12" s="20" t="s">
        <v>38</v>
      </c>
      <c r="C12" s="27"/>
      <c r="D12" s="27"/>
      <c r="E12" s="19"/>
      <c r="F12" s="27"/>
      <c r="G12" s="21">
        <f>+G13</f>
        <v>0</v>
      </c>
      <c r="H12" s="21">
        <f t="shared" ref="H12:X12" si="6">+H13</f>
        <v>0</v>
      </c>
      <c r="I12" s="21">
        <f t="shared" si="6"/>
        <v>0</v>
      </c>
      <c r="J12" s="21">
        <f t="shared" si="6"/>
        <v>0</v>
      </c>
      <c r="K12" s="21">
        <f t="shared" si="6"/>
        <v>2402</v>
      </c>
      <c r="L12" s="21">
        <f t="shared" si="6"/>
        <v>0</v>
      </c>
      <c r="M12" s="21">
        <f t="shared" si="6"/>
        <v>2402</v>
      </c>
      <c r="N12" s="21">
        <f t="shared" si="6"/>
        <v>7926.6</v>
      </c>
      <c r="O12" s="21">
        <f t="shared" si="6"/>
        <v>0</v>
      </c>
      <c r="P12" s="21">
        <f t="shared" si="6"/>
        <v>0</v>
      </c>
      <c r="Q12" s="21">
        <f t="shared" si="6"/>
        <v>0</v>
      </c>
      <c r="R12" s="21">
        <f t="shared" si="6"/>
        <v>480.40000000000003</v>
      </c>
      <c r="S12" s="21">
        <f t="shared" si="6"/>
        <v>720.6</v>
      </c>
      <c r="T12" s="21">
        <f t="shared" si="6"/>
        <v>960.80000000000007</v>
      </c>
      <c r="U12" s="21">
        <f t="shared" si="6"/>
        <v>1201</v>
      </c>
      <c r="V12" s="21">
        <f t="shared" si="6"/>
        <v>1441.2</v>
      </c>
      <c r="W12" s="21">
        <f t="shared" si="6"/>
        <v>1921.6000000000001</v>
      </c>
      <c r="X12" s="21">
        <f t="shared" si="6"/>
        <v>2402</v>
      </c>
      <c r="Y12" s="27"/>
      <c r="Z12" s="19"/>
    </row>
    <row r="13" spans="1:38" s="10" customFormat="1" ht="25.5" x14ac:dyDescent="0.25">
      <c r="A13" s="16" t="s">
        <v>29</v>
      </c>
      <c r="B13" s="29" t="s">
        <v>229</v>
      </c>
      <c r="C13" s="30"/>
      <c r="D13" s="30"/>
      <c r="E13" s="30"/>
      <c r="F13" s="30"/>
      <c r="G13" s="26"/>
      <c r="H13" s="26"/>
      <c r="I13" s="26"/>
      <c r="J13" s="26"/>
      <c r="K13" s="26">
        <f>K14</f>
        <v>2402</v>
      </c>
      <c r="L13" s="26">
        <f t="shared" ref="L13:N13" si="7">L14</f>
        <v>0</v>
      </c>
      <c r="M13" s="26">
        <f t="shared" si="7"/>
        <v>2402</v>
      </c>
      <c r="N13" s="26">
        <f t="shared" si="7"/>
        <v>7926.6</v>
      </c>
      <c r="O13" s="26"/>
      <c r="P13" s="26"/>
      <c r="Q13" s="26"/>
      <c r="R13" s="26">
        <f t="shared" si="2"/>
        <v>480.40000000000003</v>
      </c>
      <c r="S13" s="26">
        <f t="shared" si="3"/>
        <v>720.6</v>
      </c>
      <c r="T13" s="26">
        <f t="shared" ref="T12:T53" si="8">+K13*40%</f>
        <v>960.80000000000007</v>
      </c>
      <c r="U13" s="26">
        <f t="shared" ref="U12:U53" si="9">+K13*50%</f>
        <v>1201</v>
      </c>
      <c r="V13" s="26">
        <f t="shared" ref="V12:V53" si="10">+K13*60%</f>
        <v>1441.2</v>
      </c>
      <c r="W13" s="26">
        <f t="shared" ref="W12:W53" si="11">+K13*80%</f>
        <v>1921.6000000000001</v>
      </c>
      <c r="X13" s="26">
        <f t="shared" ref="X12:X53" si="12">+K13*100%</f>
        <v>2402</v>
      </c>
      <c r="Y13" s="1"/>
      <c r="Z13" s="16"/>
    </row>
    <row r="14" spans="1:38" s="25" customFormat="1" ht="25.5" x14ac:dyDescent="0.25">
      <c r="A14" s="16"/>
      <c r="B14" s="29" t="s">
        <v>230</v>
      </c>
      <c r="C14" s="31" t="s">
        <v>231</v>
      </c>
      <c r="D14" s="32" t="s">
        <v>232</v>
      </c>
      <c r="E14" s="33">
        <v>2024</v>
      </c>
      <c r="F14" s="30"/>
      <c r="G14" s="26"/>
      <c r="H14" s="26"/>
      <c r="I14" s="26"/>
      <c r="J14" s="26"/>
      <c r="K14" s="26">
        <f>+L14+M14</f>
        <v>2402</v>
      </c>
      <c r="L14" s="26"/>
      <c r="M14" s="26">
        <v>2402</v>
      </c>
      <c r="N14" s="26">
        <f>+T14+U14+V14+W14+X14</f>
        <v>7926.6</v>
      </c>
      <c r="O14" s="26"/>
      <c r="P14" s="26"/>
      <c r="Q14" s="26"/>
      <c r="R14" s="26">
        <f t="shared" si="2"/>
        <v>480.40000000000003</v>
      </c>
      <c r="S14" s="26">
        <f t="shared" si="3"/>
        <v>720.6</v>
      </c>
      <c r="T14" s="26">
        <f t="shared" si="8"/>
        <v>960.80000000000007</v>
      </c>
      <c r="U14" s="26">
        <f t="shared" si="9"/>
        <v>1201</v>
      </c>
      <c r="V14" s="26">
        <f t="shared" si="10"/>
        <v>1441.2</v>
      </c>
      <c r="W14" s="26">
        <f t="shared" si="11"/>
        <v>1921.6000000000001</v>
      </c>
      <c r="X14" s="26">
        <f t="shared" si="12"/>
        <v>2402</v>
      </c>
      <c r="Y14" s="1"/>
      <c r="Z14" s="16" t="s">
        <v>235</v>
      </c>
    </row>
    <row r="15" spans="1:38" s="28" customFormat="1" ht="25.5" x14ac:dyDescent="0.25">
      <c r="A15" s="19" t="s">
        <v>67</v>
      </c>
      <c r="B15" s="23" t="s">
        <v>68</v>
      </c>
      <c r="C15" s="27"/>
      <c r="D15" s="27"/>
      <c r="E15" s="19"/>
      <c r="F15" s="27"/>
      <c r="G15" s="21">
        <f>+G16+G17</f>
        <v>45975</v>
      </c>
      <c r="H15" s="21">
        <f t="shared" ref="H15:X15" si="13">+H16+H17</f>
        <v>0</v>
      </c>
      <c r="I15" s="21">
        <f t="shared" si="13"/>
        <v>0</v>
      </c>
      <c r="J15" s="21">
        <f t="shared" si="13"/>
        <v>0</v>
      </c>
      <c r="K15" s="21">
        <f t="shared" si="13"/>
        <v>3700</v>
      </c>
      <c r="L15" s="21">
        <f t="shared" si="13"/>
        <v>0</v>
      </c>
      <c r="M15" s="21">
        <f t="shared" si="13"/>
        <v>3700</v>
      </c>
      <c r="N15" s="21">
        <f t="shared" si="13"/>
        <v>10810</v>
      </c>
      <c r="O15" s="21">
        <f t="shared" si="13"/>
        <v>0</v>
      </c>
      <c r="P15" s="21">
        <f t="shared" si="13"/>
        <v>0</v>
      </c>
      <c r="Q15" s="21">
        <f t="shared" si="13"/>
        <v>0</v>
      </c>
      <c r="R15" s="21">
        <f t="shared" si="13"/>
        <v>50</v>
      </c>
      <c r="S15" s="21">
        <f t="shared" si="13"/>
        <v>60</v>
      </c>
      <c r="T15" s="21">
        <f t="shared" si="13"/>
        <v>80</v>
      </c>
      <c r="U15" s="21">
        <f t="shared" si="13"/>
        <v>1850</v>
      </c>
      <c r="V15" s="21">
        <f t="shared" si="13"/>
        <v>2220</v>
      </c>
      <c r="W15" s="21">
        <f t="shared" si="13"/>
        <v>2960</v>
      </c>
      <c r="X15" s="21">
        <f t="shared" si="13"/>
        <v>3700</v>
      </c>
      <c r="Y15" s="27"/>
      <c r="Z15" s="19"/>
    </row>
    <row r="16" spans="1:38" s="25" customFormat="1" ht="51" x14ac:dyDescent="0.25">
      <c r="A16" s="16">
        <v>7</v>
      </c>
      <c r="B16" s="34" t="s">
        <v>93</v>
      </c>
      <c r="C16" s="30" t="s">
        <v>60</v>
      </c>
      <c r="D16" s="30" t="s">
        <v>94</v>
      </c>
      <c r="E16" s="30" t="s">
        <v>95</v>
      </c>
      <c r="F16" s="30" t="s">
        <v>96</v>
      </c>
      <c r="G16" s="35">
        <v>39800</v>
      </c>
      <c r="H16" s="26"/>
      <c r="I16" s="26"/>
      <c r="J16" s="26"/>
      <c r="K16" s="26">
        <f t="shared" ref="K16:K17" si="14">+L16+M16</f>
        <v>3500</v>
      </c>
      <c r="L16" s="26"/>
      <c r="M16" s="26">
        <v>3500</v>
      </c>
      <c r="N16" s="26">
        <f>+T16+U16+V16+W16+X16</f>
        <v>10150</v>
      </c>
      <c r="O16" s="26"/>
      <c r="P16" s="26"/>
      <c r="Q16" s="26"/>
      <c r="R16" s="26"/>
      <c r="S16" s="26"/>
      <c r="T16" s="26"/>
      <c r="U16" s="26">
        <f t="shared" si="9"/>
        <v>1750</v>
      </c>
      <c r="V16" s="26">
        <f t="shared" si="10"/>
        <v>2100</v>
      </c>
      <c r="W16" s="26">
        <f t="shared" si="11"/>
        <v>2800</v>
      </c>
      <c r="X16" s="26">
        <f t="shared" si="12"/>
        <v>3500</v>
      </c>
      <c r="Y16" s="1" t="s">
        <v>45</v>
      </c>
      <c r="Z16" s="16" t="s">
        <v>235</v>
      </c>
    </row>
    <row r="17" spans="1:28" s="25" customFormat="1" ht="51" x14ac:dyDescent="0.25">
      <c r="A17" s="16">
        <v>13</v>
      </c>
      <c r="B17" s="34" t="s">
        <v>62</v>
      </c>
      <c r="C17" s="30" t="s">
        <v>63</v>
      </c>
      <c r="D17" s="30" t="s">
        <v>103</v>
      </c>
      <c r="E17" s="30">
        <v>2024</v>
      </c>
      <c r="F17" s="24"/>
      <c r="G17" s="26">
        <v>6175</v>
      </c>
      <c r="H17" s="26"/>
      <c r="I17" s="26"/>
      <c r="J17" s="26"/>
      <c r="K17" s="26">
        <f t="shared" si="14"/>
        <v>200</v>
      </c>
      <c r="L17" s="26"/>
      <c r="M17" s="26">
        <v>200</v>
      </c>
      <c r="N17" s="26">
        <f>+T17+U17+V17+W17+X17</f>
        <v>660</v>
      </c>
      <c r="O17" s="26"/>
      <c r="P17" s="26"/>
      <c r="Q17" s="26"/>
      <c r="R17" s="26">
        <f>+K17*25%</f>
        <v>50</v>
      </c>
      <c r="S17" s="26">
        <f t="shared" si="3"/>
        <v>60</v>
      </c>
      <c r="T17" s="26">
        <f t="shared" si="8"/>
        <v>80</v>
      </c>
      <c r="U17" s="26">
        <f t="shared" si="9"/>
        <v>100</v>
      </c>
      <c r="V17" s="26">
        <f t="shared" si="10"/>
        <v>120</v>
      </c>
      <c r="W17" s="26">
        <f t="shared" si="11"/>
        <v>160</v>
      </c>
      <c r="X17" s="26">
        <f t="shared" si="12"/>
        <v>200</v>
      </c>
      <c r="Y17" s="1" t="s">
        <v>45</v>
      </c>
      <c r="Z17" s="16" t="s">
        <v>235</v>
      </c>
    </row>
    <row r="18" spans="1:28" s="28" customFormat="1" ht="12.75" x14ac:dyDescent="0.25">
      <c r="A18" s="19" t="s">
        <v>111</v>
      </c>
      <c r="B18" s="20" t="s">
        <v>112</v>
      </c>
      <c r="C18" s="27"/>
      <c r="D18" s="27"/>
      <c r="E18" s="19"/>
      <c r="F18" s="27"/>
      <c r="G18" s="21">
        <f>+G19</f>
        <v>750</v>
      </c>
      <c r="H18" s="21">
        <f t="shared" ref="H18:X18" si="15">+H19</f>
        <v>0</v>
      </c>
      <c r="I18" s="21">
        <f t="shared" si="15"/>
        <v>0</v>
      </c>
      <c r="J18" s="21">
        <f t="shared" si="15"/>
        <v>0</v>
      </c>
      <c r="K18" s="21">
        <f t="shared" si="15"/>
        <v>100</v>
      </c>
      <c r="L18" s="21">
        <f t="shared" si="15"/>
        <v>0</v>
      </c>
      <c r="M18" s="21">
        <f t="shared" si="15"/>
        <v>100</v>
      </c>
      <c r="N18" s="21">
        <f t="shared" si="15"/>
        <v>330</v>
      </c>
      <c r="O18" s="21">
        <f t="shared" si="15"/>
        <v>0</v>
      </c>
      <c r="P18" s="21">
        <f t="shared" si="15"/>
        <v>0</v>
      </c>
      <c r="Q18" s="21">
        <f t="shared" si="15"/>
        <v>0</v>
      </c>
      <c r="R18" s="21">
        <f t="shared" si="15"/>
        <v>25</v>
      </c>
      <c r="S18" s="21">
        <f t="shared" si="15"/>
        <v>30</v>
      </c>
      <c r="T18" s="21">
        <f t="shared" si="15"/>
        <v>40</v>
      </c>
      <c r="U18" s="21">
        <f t="shared" si="15"/>
        <v>50</v>
      </c>
      <c r="V18" s="21">
        <f t="shared" si="15"/>
        <v>60</v>
      </c>
      <c r="W18" s="21">
        <f t="shared" si="15"/>
        <v>80</v>
      </c>
      <c r="X18" s="21">
        <f t="shared" si="15"/>
        <v>100</v>
      </c>
      <c r="Y18" s="27"/>
      <c r="Z18" s="19"/>
    </row>
    <row r="19" spans="1:28" s="28" customFormat="1" ht="12.75" x14ac:dyDescent="0.25">
      <c r="A19" s="19" t="s">
        <v>29</v>
      </c>
      <c r="B19" s="23" t="s">
        <v>113</v>
      </c>
      <c r="C19" s="27"/>
      <c r="D19" s="27"/>
      <c r="E19" s="19"/>
      <c r="F19" s="27"/>
      <c r="G19" s="21">
        <f>+G20</f>
        <v>750</v>
      </c>
      <c r="H19" s="21">
        <f t="shared" ref="H19:N19" si="16">+H20</f>
        <v>0</v>
      </c>
      <c r="I19" s="21">
        <f t="shared" si="16"/>
        <v>0</v>
      </c>
      <c r="J19" s="21">
        <f t="shared" si="16"/>
        <v>0</v>
      </c>
      <c r="K19" s="21">
        <f t="shared" si="16"/>
        <v>100</v>
      </c>
      <c r="L19" s="21">
        <f t="shared" si="16"/>
        <v>0</v>
      </c>
      <c r="M19" s="21">
        <f t="shared" si="16"/>
        <v>100</v>
      </c>
      <c r="N19" s="21">
        <f t="shared" si="16"/>
        <v>330</v>
      </c>
      <c r="O19" s="21"/>
      <c r="P19" s="21"/>
      <c r="Q19" s="21"/>
      <c r="R19" s="26">
        <f t="shared" ref="R18:R62" si="17">+K19*25%</f>
        <v>25</v>
      </c>
      <c r="S19" s="21">
        <f t="shared" si="3"/>
        <v>30</v>
      </c>
      <c r="T19" s="21">
        <f t="shared" si="8"/>
        <v>40</v>
      </c>
      <c r="U19" s="21">
        <f t="shared" si="9"/>
        <v>50</v>
      </c>
      <c r="V19" s="21">
        <f t="shared" si="10"/>
        <v>60</v>
      </c>
      <c r="W19" s="21">
        <f t="shared" si="11"/>
        <v>80</v>
      </c>
      <c r="X19" s="21">
        <f t="shared" si="12"/>
        <v>100</v>
      </c>
      <c r="Y19" s="27"/>
      <c r="Z19" s="19"/>
    </row>
    <row r="20" spans="1:28" s="25" customFormat="1" ht="38.25" x14ac:dyDescent="0.25">
      <c r="A20" s="30">
        <v>1</v>
      </c>
      <c r="B20" s="34" t="s">
        <v>114</v>
      </c>
      <c r="C20" s="30" t="s">
        <v>115</v>
      </c>
      <c r="D20" s="30" t="s">
        <v>116</v>
      </c>
      <c r="E20" s="30" t="s">
        <v>117</v>
      </c>
      <c r="F20" s="24"/>
      <c r="G20" s="26">
        <v>750</v>
      </c>
      <c r="H20" s="26"/>
      <c r="I20" s="26"/>
      <c r="J20" s="26"/>
      <c r="K20" s="26">
        <f t="shared" ref="K20" si="18">+L20+M20</f>
        <v>100</v>
      </c>
      <c r="L20" s="26"/>
      <c r="M20" s="26">
        <v>100</v>
      </c>
      <c r="N20" s="26">
        <f t="shared" ref="N20" si="19">+T20+U20+V20+W20+X20</f>
        <v>330</v>
      </c>
      <c r="O20" s="26"/>
      <c r="P20" s="26"/>
      <c r="Q20" s="26"/>
      <c r="R20" s="26">
        <f t="shared" si="17"/>
        <v>25</v>
      </c>
      <c r="S20" s="26">
        <f t="shared" si="3"/>
        <v>30</v>
      </c>
      <c r="T20" s="26">
        <f t="shared" si="8"/>
        <v>40</v>
      </c>
      <c r="U20" s="26">
        <f t="shared" si="9"/>
        <v>50</v>
      </c>
      <c r="V20" s="26">
        <f t="shared" si="10"/>
        <v>60</v>
      </c>
      <c r="W20" s="26">
        <f t="shared" si="11"/>
        <v>80</v>
      </c>
      <c r="X20" s="26">
        <f t="shared" si="12"/>
        <v>100</v>
      </c>
      <c r="Y20" s="2" t="s">
        <v>73</v>
      </c>
      <c r="Z20" s="16" t="s">
        <v>235</v>
      </c>
    </row>
    <row r="21" spans="1:28" s="28" customFormat="1" ht="25.5" x14ac:dyDescent="0.25">
      <c r="A21" s="19" t="s">
        <v>144</v>
      </c>
      <c r="B21" s="23" t="s">
        <v>145</v>
      </c>
      <c r="C21" s="27"/>
      <c r="D21" s="27"/>
      <c r="E21" s="19"/>
      <c r="F21" s="27"/>
      <c r="G21" s="21">
        <f t="shared" ref="G21:N21" si="20">+G22+G28</f>
        <v>73925.5</v>
      </c>
      <c r="H21" s="21">
        <f t="shared" si="20"/>
        <v>0</v>
      </c>
      <c r="I21" s="21">
        <f t="shared" si="20"/>
        <v>0</v>
      </c>
      <c r="J21" s="21">
        <f t="shared" si="20"/>
        <v>0</v>
      </c>
      <c r="K21" s="21">
        <f t="shared" si="20"/>
        <v>31345.4</v>
      </c>
      <c r="L21" s="21">
        <f t="shared" si="20"/>
        <v>0</v>
      </c>
      <c r="M21" s="21">
        <f t="shared" si="20"/>
        <v>31345.4</v>
      </c>
      <c r="N21" s="21">
        <f t="shared" ref="N21:X21" si="21">+N22+N28</f>
        <v>103439.82</v>
      </c>
      <c r="O21" s="21">
        <f t="shared" si="21"/>
        <v>65.7</v>
      </c>
      <c r="P21" s="21">
        <f t="shared" si="21"/>
        <v>3372.18</v>
      </c>
      <c r="Q21" s="21">
        <f t="shared" si="21"/>
        <v>4496.24</v>
      </c>
      <c r="R21" s="21">
        <f t="shared" si="21"/>
        <v>7836.35</v>
      </c>
      <c r="S21" s="21">
        <f t="shared" si="21"/>
        <v>9403.619999999999</v>
      </c>
      <c r="T21" s="21">
        <f t="shared" si="21"/>
        <v>12538.16</v>
      </c>
      <c r="U21" s="21">
        <f t="shared" si="21"/>
        <v>15672.7</v>
      </c>
      <c r="V21" s="21">
        <f t="shared" si="21"/>
        <v>18807.239999999998</v>
      </c>
      <c r="W21" s="21">
        <f t="shared" si="21"/>
        <v>25076.32</v>
      </c>
      <c r="X21" s="21">
        <f t="shared" si="21"/>
        <v>31345.4</v>
      </c>
      <c r="Y21" s="27"/>
      <c r="Z21" s="19"/>
    </row>
    <row r="22" spans="1:28" s="28" customFormat="1" ht="38.25" x14ac:dyDescent="0.25">
      <c r="A22" s="19" t="s">
        <v>29</v>
      </c>
      <c r="B22" s="23" t="s">
        <v>226</v>
      </c>
      <c r="C22" s="27"/>
      <c r="D22" s="27"/>
      <c r="E22" s="19"/>
      <c r="F22" s="27"/>
      <c r="G22" s="21">
        <f>+G23</f>
        <v>23122.5</v>
      </c>
      <c r="H22" s="21">
        <f t="shared" ref="H22:X22" si="22">+H23</f>
        <v>0</v>
      </c>
      <c r="I22" s="21">
        <f t="shared" si="22"/>
        <v>0</v>
      </c>
      <c r="J22" s="21">
        <f t="shared" si="22"/>
        <v>0</v>
      </c>
      <c r="K22" s="21">
        <f t="shared" si="22"/>
        <v>1357</v>
      </c>
      <c r="L22" s="21">
        <f t="shared" si="22"/>
        <v>0</v>
      </c>
      <c r="M22" s="21">
        <f t="shared" si="22"/>
        <v>1357</v>
      </c>
      <c r="N22" s="21">
        <f t="shared" si="22"/>
        <v>4478.1000000000004</v>
      </c>
      <c r="O22" s="21">
        <f t="shared" si="22"/>
        <v>65.7</v>
      </c>
      <c r="P22" s="21">
        <f t="shared" si="22"/>
        <v>203.55</v>
      </c>
      <c r="Q22" s="21">
        <f t="shared" si="22"/>
        <v>271.39999999999998</v>
      </c>
      <c r="R22" s="21">
        <f t="shared" si="22"/>
        <v>339.25</v>
      </c>
      <c r="S22" s="21">
        <f t="shared" si="22"/>
        <v>407.1</v>
      </c>
      <c r="T22" s="21">
        <f t="shared" si="22"/>
        <v>542.79999999999995</v>
      </c>
      <c r="U22" s="21">
        <f t="shared" si="22"/>
        <v>678.5</v>
      </c>
      <c r="V22" s="21">
        <f t="shared" si="22"/>
        <v>814.2</v>
      </c>
      <c r="W22" s="21">
        <f t="shared" si="22"/>
        <v>1085.5999999999999</v>
      </c>
      <c r="X22" s="21">
        <f t="shared" si="22"/>
        <v>1357</v>
      </c>
      <c r="Y22" s="27"/>
      <c r="Z22" s="19"/>
      <c r="AB22" s="28" t="s">
        <v>237</v>
      </c>
    </row>
    <row r="23" spans="1:28" s="25" customFormat="1" ht="12.75" x14ac:dyDescent="0.25">
      <c r="A23" s="30" t="s">
        <v>146</v>
      </c>
      <c r="B23" s="34" t="s">
        <v>27</v>
      </c>
      <c r="C23" s="30"/>
      <c r="D23" s="30"/>
      <c r="E23" s="30"/>
      <c r="F23" s="30"/>
      <c r="G23" s="35">
        <f>+G24+G25+G26+G27</f>
        <v>23122.5</v>
      </c>
      <c r="H23" s="35">
        <f t="shared" ref="H23:X23" si="23">+H24+H25+H26+H27</f>
        <v>0</v>
      </c>
      <c r="I23" s="35">
        <f t="shared" si="23"/>
        <v>0</v>
      </c>
      <c r="J23" s="35">
        <f t="shared" si="23"/>
        <v>0</v>
      </c>
      <c r="K23" s="35">
        <f t="shared" si="23"/>
        <v>1357</v>
      </c>
      <c r="L23" s="35">
        <f t="shared" si="23"/>
        <v>0</v>
      </c>
      <c r="M23" s="35">
        <f t="shared" si="23"/>
        <v>1357</v>
      </c>
      <c r="N23" s="35">
        <f t="shared" si="23"/>
        <v>4478.1000000000004</v>
      </c>
      <c r="O23" s="35">
        <f t="shared" si="23"/>
        <v>65.7</v>
      </c>
      <c r="P23" s="35">
        <f t="shared" si="23"/>
        <v>203.55</v>
      </c>
      <c r="Q23" s="35">
        <f t="shared" si="23"/>
        <v>271.39999999999998</v>
      </c>
      <c r="R23" s="35">
        <f t="shared" si="23"/>
        <v>339.25</v>
      </c>
      <c r="S23" s="35">
        <f t="shared" si="23"/>
        <v>407.1</v>
      </c>
      <c r="T23" s="35">
        <f t="shared" si="23"/>
        <v>542.79999999999995</v>
      </c>
      <c r="U23" s="35">
        <f t="shared" si="23"/>
        <v>678.5</v>
      </c>
      <c r="V23" s="35">
        <f t="shared" si="23"/>
        <v>814.2</v>
      </c>
      <c r="W23" s="35">
        <f t="shared" si="23"/>
        <v>1085.5999999999999</v>
      </c>
      <c r="X23" s="35">
        <f t="shared" si="23"/>
        <v>1357</v>
      </c>
      <c r="Y23" s="1"/>
      <c r="Z23" s="16"/>
    </row>
    <row r="24" spans="1:28" s="25" customFormat="1" ht="51" x14ac:dyDescent="0.25">
      <c r="A24" s="30">
        <v>13</v>
      </c>
      <c r="B24" s="34" t="s">
        <v>174</v>
      </c>
      <c r="C24" s="30" t="s">
        <v>108</v>
      </c>
      <c r="D24" s="30" t="s">
        <v>123</v>
      </c>
      <c r="E24" s="30" t="s">
        <v>139</v>
      </c>
      <c r="F24" s="24"/>
      <c r="G24" s="26">
        <v>4550</v>
      </c>
      <c r="H24" s="26"/>
      <c r="I24" s="26"/>
      <c r="J24" s="26"/>
      <c r="K24" s="26">
        <f t="shared" ref="K24:K27" si="24">+L24+M24</f>
        <v>307</v>
      </c>
      <c r="L24" s="26"/>
      <c r="M24" s="26">
        <v>307</v>
      </c>
      <c r="N24" s="26">
        <f t="shared" ref="N24:N27" si="25">+T24+U24+V24+W24+X24</f>
        <v>1013.1</v>
      </c>
      <c r="O24" s="26">
        <f>+K24*10%</f>
        <v>30.700000000000003</v>
      </c>
      <c r="P24" s="26">
        <f>+K24*15%</f>
        <v>46.05</v>
      </c>
      <c r="Q24" s="26">
        <f>+K24*20%</f>
        <v>61.400000000000006</v>
      </c>
      <c r="R24" s="26">
        <f t="shared" si="17"/>
        <v>76.75</v>
      </c>
      <c r="S24" s="26">
        <f t="shared" si="3"/>
        <v>92.1</v>
      </c>
      <c r="T24" s="26">
        <f t="shared" si="8"/>
        <v>122.80000000000001</v>
      </c>
      <c r="U24" s="26">
        <f t="shared" si="9"/>
        <v>153.5</v>
      </c>
      <c r="V24" s="26">
        <f t="shared" si="10"/>
        <v>184.2</v>
      </c>
      <c r="W24" s="26">
        <f t="shared" si="11"/>
        <v>245.60000000000002</v>
      </c>
      <c r="X24" s="26">
        <f t="shared" si="12"/>
        <v>307</v>
      </c>
      <c r="Y24" s="1" t="s">
        <v>45</v>
      </c>
      <c r="Z24" s="16" t="s">
        <v>235</v>
      </c>
    </row>
    <row r="25" spans="1:28" s="25" customFormat="1" ht="51" x14ac:dyDescent="0.25">
      <c r="A25" s="30">
        <v>14</v>
      </c>
      <c r="B25" s="34" t="s">
        <v>175</v>
      </c>
      <c r="C25" s="30" t="s">
        <v>176</v>
      </c>
      <c r="D25" s="30" t="s">
        <v>123</v>
      </c>
      <c r="E25" s="30" t="s">
        <v>139</v>
      </c>
      <c r="F25" s="24"/>
      <c r="G25" s="26">
        <v>5950</v>
      </c>
      <c r="H25" s="26"/>
      <c r="I25" s="26"/>
      <c r="J25" s="26"/>
      <c r="K25" s="26">
        <f t="shared" si="24"/>
        <v>350</v>
      </c>
      <c r="L25" s="26"/>
      <c r="M25" s="26">
        <v>350</v>
      </c>
      <c r="N25" s="26">
        <f t="shared" si="25"/>
        <v>1155</v>
      </c>
      <c r="O25" s="26">
        <f>+K25*10%</f>
        <v>35</v>
      </c>
      <c r="P25" s="26">
        <f>+K25*15%</f>
        <v>52.5</v>
      </c>
      <c r="Q25" s="26">
        <f>+K25*20%</f>
        <v>70</v>
      </c>
      <c r="R25" s="26">
        <f t="shared" si="17"/>
        <v>87.5</v>
      </c>
      <c r="S25" s="26">
        <f t="shared" si="3"/>
        <v>105</v>
      </c>
      <c r="T25" s="26">
        <f t="shared" si="8"/>
        <v>140</v>
      </c>
      <c r="U25" s="26">
        <f t="shared" si="9"/>
        <v>175</v>
      </c>
      <c r="V25" s="26">
        <f t="shared" si="10"/>
        <v>210</v>
      </c>
      <c r="W25" s="26">
        <f t="shared" si="11"/>
        <v>280</v>
      </c>
      <c r="X25" s="26">
        <f t="shared" si="12"/>
        <v>350</v>
      </c>
      <c r="Y25" s="1" t="s">
        <v>45</v>
      </c>
      <c r="Z25" s="16" t="s">
        <v>235</v>
      </c>
    </row>
    <row r="26" spans="1:28" s="25" customFormat="1" ht="51" x14ac:dyDescent="0.25">
      <c r="A26" s="30">
        <v>15</v>
      </c>
      <c r="B26" s="34" t="s">
        <v>177</v>
      </c>
      <c r="C26" s="30" t="s">
        <v>176</v>
      </c>
      <c r="D26" s="30" t="s">
        <v>123</v>
      </c>
      <c r="E26" s="30" t="s">
        <v>139</v>
      </c>
      <c r="F26" s="24"/>
      <c r="G26" s="26">
        <v>6352.5000000000009</v>
      </c>
      <c r="H26" s="26"/>
      <c r="I26" s="26"/>
      <c r="J26" s="26"/>
      <c r="K26" s="26">
        <f t="shared" si="24"/>
        <v>350</v>
      </c>
      <c r="L26" s="26"/>
      <c r="M26" s="26">
        <v>350</v>
      </c>
      <c r="N26" s="26">
        <f t="shared" si="25"/>
        <v>1155</v>
      </c>
      <c r="O26" s="26"/>
      <c r="P26" s="26">
        <f t="shared" ref="P26:P27" si="26">+K26*15%</f>
        <v>52.5</v>
      </c>
      <c r="Q26" s="26">
        <f t="shared" ref="Q26:Q27" si="27">+K26*20%</f>
        <v>70</v>
      </c>
      <c r="R26" s="26">
        <f t="shared" si="17"/>
        <v>87.5</v>
      </c>
      <c r="S26" s="26">
        <f t="shared" si="3"/>
        <v>105</v>
      </c>
      <c r="T26" s="26">
        <f t="shared" si="8"/>
        <v>140</v>
      </c>
      <c r="U26" s="26">
        <f t="shared" si="9"/>
        <v>175</v>
      </c>
      <c r="V26" s="26">
        <f t="shared" si="10"/>
        <v>210</v>
      </c>
      <c r="W26" s="26">
        <f t="shared" si="11"/>
        <v>280</v>
      </c>
      <c r="X26" s="26">
        <f t="shared" si="12"/>
        <v>350</v>
      </c>
      <c r="Y26" s="1" t="s">
        <v>45</v>
      </c>
      <c r="Z26" s="16" t="s">
        <v>235</v>
      </c>
    </row>
    <row r="27" spans="1:28" s="25" customFormat="1" ht="51" x14ac:dyDescent="0.25">
      <c r="A27" s="30">
        <v>16</v>
      </c>
      <c r="B27" s="34" t="s">
        <v>178</v>
      </c>
      <c r="C27" s="30" t="s">
        <v>176</v>
      </c>
      <c r="D27" s="30" t="s">
        <v>123</v>
      </c>
      <c r="E27" s="30" t="s">
        <v>139</v>
      </c>
      <c r="F27" s="24"/>
      <c r="G27" s="26">
        <v>6270</v>
      </c>
      <c r="H27" s="26"/>
      <c r="I27" s="26"/>
      <c r="J27" s="26"/>
      <c r="K27" s="26">
        <f t="shared" si="24"/>
        <v>350</v>
      </c>
      <c r="L27" s="26"/>
      <c r="M27" s="26">
        <v>350</v>
      </c>
      <c r="N27" s="26">
        <f t="shared" si="25"/>
        <v>1155</v>
      </c>
      <c r="O27" s="26"/>
      <c r="P27" s="26">
        <f t="shared" si="26"/>
        <v>52.5</v>
      </c>
      <c r="Q27" s="26">
        <f t="shared" si="27"/>
        <v>70</v>
      </c>
      <c r="R27" s="26">
        <f t="shared" si="17"/>
        <v>87.5</v>
      </c>
      <c r="S27" s="26">
        <f t="shared" si="3"/>
        <v>105</v>
      </c>
      <c r="T27" s="26">
        <f t="shared" si="8"/>
        <v>140</v>
      </c>
      <c r="U27" s="26">
        <f t="shared" si="9"/>
        <v>175</v>
      </c>
      <c r="V27" s="26">
        <f t="shared" si="10"/>
        <v>210</v>
      </c>
      <c r="W27" s="26">
        <f t="shared" si="11"/>
        <v>280</v>
      </c>
      <c r="X27" s="26">
        <f t="shared" si="12"/>
        <v>350</v>
      </c>
      <c r="Y27" s="1" t="s">
        <v>45</v>
      </c>
      <c r="Z27" s="16" t="s">
        <v>235</v>
      </c>
    </row>
    <row r="28" spans="1:28" s="28" customFormat="1" ht="38.25" x14ac:dyDescent="0.25">
      <c r="A28" s="19" t="s">
        <v>29</v>
      </c>
      <c r="B28" s="23" t="s">
        <v>227</v>
      </c>
      <c r="C28" s="27"/>
      <c r="D28" s="27"/>
      <c r="E28" s="19"/>
      <c r="F28" s="27"/>
      <c r="G28" s="21">
        <f t="shared" ref="G28:X28" si="28">+G29+G32+G50+G52</f>
        <v>50803</v>
      </c>
      <c r="H28" s="21">
        <f t="shared" si="28"/>
        <v>0</v>
      </c>
      <c r="I28" s="21">
        <f t="shared" si="28"/>
        <v>0</v>
      </c>
      <c r="J28" s="21">
        <f t="shared" si="28"/>
        <v>0</v>
      </c>
      <c r="K28" s="21">
        <f t="shared" si="28"/>
        <v>29988.400000000001</v>
      </c>
      <c r="L28" s="21">
        <f t="shared" si="28"/>
        <v>0</v>
      </c>
      <c r="M28" s="21">
        <f t="shared" si="28"/>
        <v>29988.400000000001</v>
      </c>
      <c r="N28" s="21">
        <f t="shared" si="28"/>
        <v>98961.72</v>
      </c>
      <c r="O28" s="21">
        <f t="shared" si="28"/>
        <v>0</v>
      </c>
      <c r="P28" s="21">
        <f t="shared" si="28"/>
        <v>3168.6299999999997</v>
      </c>
      <c r="Q28" s="21">
        <f t="shared" si="28"/>
        <v>4224.84</v>
      </c>
      <c r="R28" s="21">
        <f t="shared" si="28"/>
        <v>7497.1</v>
      </c>
      <c r="S28" s="21">
        <f t="shared" si="28"/>
        <v>8996.5199999999986</v>
      </c>
      <c r="T28" s="21">
        <f t="shared" si="28"/>
        <v>11995.36</v>
      </c>
      <c r="U28" s="21">
        <f t="shared" si="28"/>
        <v>14994.2</v>
      </c>
      <c r="V28" s="21">
        <f t="shared" si="28"/>
        <v>17993.039999999997</v>
      </c>
      <c r="W28" s="21">
        <f t="shared" si="28"/>
        <v>23990.720000000001</v>
      </c>
      <c r="X28" s="21">
        <f t="shared" si="28"/>
        <v>29988.400000000001</v>
      </c>
      <c r="Y28" s="27"/>
      <c r="Z28" s="19"/>
    </row>
    <row r="29" spans="1:28" s="28" customFormat="1" ht="25.5" x14ac:dyDescent="0.25">
      <c r="A29" s="19" t="s">
        <v>146</v>
      </c>
      <c r="B29" s="23" t="s">
        <v>179</v>
      </c>
      <c r="C29" s="27"/>
      <c r="D29" s="27"/>
      <c r="E29" s="19"/>
      <c r="F29" s="27"/>
      <c r="G29" s="21">
        <f>+G30+G31</f>
        <v>1204</v>
      </c>
      <c r="H29" s="21">
        <f t="shared" ref="H29:Q29" si="29">+H30+H31</f>
        <v>0</v>
      </c>
      <c r="I29" s="21">
        <f t="shared" si="29"/>
        <v>0</v>
      </c>
      <c r="J29" s="21">
        <f t="shared" si="29"/>
        <v>0</v>
      </c>
      <c r="K29" s="21">
        <f t="shared" si="29"/>
        <v>1204</v>
      </c>
      <c r="L29" s="21">
        <f t="shared" si="29"/>
        <v>0</v>
      </c>
      <c r="M29" s="21">
        <f t="shared" si="29"/>
        <v>1204</v>
      </c>
      <c r="N29" s="21">
        <f t="shared" si="29"/>
        <v>3973.2</v>
      </c>
      <c r="O29" s="21">
        <f t="shared" si="29"/>
        <v>0</v>
      </c>
      <c r="P29" s="21">
        <f t="shared" si="29"/>
        <v>180.6</v>
      </c>
      <c r="Q29" s="21">
        <f t="shared" si="29"/>
        <v>240.8</v>
      </c>
      <c r="R29" s="26">
        <f t="shared" si="17"/>
        <v>301</v>
      </c>
      <c r="S29" s="21">
        <f t="shared" si="3"/>
        <v>361.2</v>
      </c>
      <c r="T29" s="21">
        <f t="shared" si="8"/>
        <v>481.6</v>
      </c>
      <c r="U29" s="21">
        <f t="shared" si="9"/>
        <v>602</v>
      </c>
      <c r="V29" s="21">
        <f t="shared" si="10"/>
        <v>722.4</v>
      </c>
      <c r="W29" s="21">
        <f t="shared" si="11"/>
        <v>963.2</v>
      </c>
      <c r="X29" s="21">
        <f t="shared" si="12"/>
        <v>1204</v>
      </c>
      <c r="Y29" s="27"/>
      <c r="Z29" s="19"/>
    </row>
    <row r="30" spans="1:28" s="25" customFormat="1" ht="38.25" x14ac:dyDescent="0.25">
      <c r="A30" s="16">
        <v>1</v>
      </c>
      <c r="B30" s="34" t="s">
        <v>180</v>
      </c>
      <c r="C30" s="30" t="s">
        <v>181</v>
      </c>
      <c r="D30" s="30" t="s">
        <v>215</v>
      </c>
      <c r="E30" s="30">
        <v>2024</v>
      </c>
      <c r="F30" s="24"/>
      <c r="G30" s="26">
        <v>602</v>
      </c>
      <c r="H30" s="26"/>
      <c r="I30" s="26"/>
      <c r="J30" s="26"/>
      <c r="K30" s="26">
        <f>+L30+M30</f>
        <v>602</v>
      </c>
      <c r="L30" s="26"/>
      <c r="M30" s="26">
        <v>602</v>
      </c>
      <c r="N30" s="26">
        <f t="shared" ref="N30:N31" si="30">+T30+U30+V30+W30+X30</f>
        <v>1986.6</v>
      </c>
      <c r="O30" s="26"/>
      <c r="P30" s="26">
        <f t="shared" ref="P30" si="31">+K30*15%</f>
        <v>90.3</v>
      </c>
      <c r="Q30" s="26">
        <f t="shared" ref="Q30" si="32">+K30*20%</f>
        <v>120.4</v>
      </c>
      <c r="R30" s="26">
        <f t="shared" si="17"/>
        <v>150.5</v>
      </c>
      <c r="S30" s="26">
        <f t="shared" si="3"/>
        <v>180.6</v>
      </c>
      <c r="T30" s="26">
        <f t="shared" si="8"/>
        <v>240.8</v>
      </c>
      <c r="U30" s="26">
        <f t="shared" si="9"/>
        <v>301</v>
      </c>
      <c r="V30" s="26">
        <f t="shared" si="10"/>
        <v>361.2</v>
      </c>
      <c r="W30" s="26">
        <f t="shared" si="11"/>
        <v>481.6</v>
      </c>
      <c r="X30" s="26">
        <f t="shared" si="12"/>
        <v>602</v>
      </c>
      <c r="Y30" s="30" t="s">
        <v>219</v>
      </c>
      <c r="Z30" s="16" t="s">
        <v>235</v>
      </c>
    </row>
    <row r="31" spans="1:28" s="25" customFormat="1" ht="38.25" x14ac:dyDescent="0.25">
      <c r="A31" s="16">
        <v>2</v>
      </c>
      <c r="B31" s="34" t="s">
        <v>182</v>
      </c>
      <c r="C31" s="30" t="s">
        <v>163</v>
      </c>
      <c r="D31" s="30" t="s">
        <v>215</v>
      </c>
      <c r="E31" s="30">
        <v>2024</v>
      </c>
      <c r="F31" s="24"/>
      <c r="G31" s="26">
        <v>602</v>
      </c>
      <c r="H31" s="26"/>
      <c r="I31" s="26"/>
      <c r="J31" s="26"/>
      <c r="K31" s="26">
        <f>+L31+M31</f>
        <v>602</v>
      </c>
      <c r="L31" s="26"/>
      <c r="M31" s="26">
        <v>602</v>
      </c>
      <c r="N31" s="26">
        <f t="shared" si="30"/>
        <v>1986.6</v>
      </c>
      <c r="O31" s="26"/>
      <c r="P31" s="26">
        <f t="shared" ref="P31" si="33">+K31*15%</f>
        <v>90.3</v>
      </c>
      <c r="Q31" s="26">
        <f t="shared" ref="Q31" si="34">+K31*20%</f>
        <v>120.4</v>
      </c>
      <c r="R31" s="26">
        <f t="shared" si="17"/>
        <v>150.5</v>
      </c>
      <c r="S31" s="26">
        <f t="shared" si="3"/>
        <v>180.6</v>
      </c>
      <c r="T31" s="26">
        <f t="shared" si="8"/>
        <v>240.8</v>
      </c>
      <c r="U31" s="26">
        <f t="shared" si="9"/>
        <v>301</v>
      </c>
      <c r="V31" s="26">
        <f t="shared" si="10"/>
        <v>361.2</v>
      </c>
      <c r="W31" s="26">
        <f t="shared" si="11"/>
        <v>481.6</v>
      </c>
      <c r="X31" s="26">
        <f t="shared" si="12"/>
        <v>602</v>
      </c>
      <c r="Y31" s="30" t="s">
        <v>220</v>
      </c>
      <c r="Z31" s="16" t="s">
        <v>235</v>
      </c>
    </row>
    <row r="32" spans="1:28" s="28" customFormat="1" ht="63.75" x14ac:dyDescent="0.25">
      <c r="A32" s="19" t="s">
        <v>146</v>
      </c>
      <c r="B32" s="23" t="s">
        <v>183</v>
      </c>
      <c r="C32" s="27"/>
      <c r="D32" s="27"/>
      <c r="E32" s="14"/>
      <c r="F32" s="27"/>
      <c r="G32" s="21">
        <f t="shared" ref="G32:N32" si="35">+G33+G44</f>
        <v>39426</v>
      </c>
      <c r="H32" s="21">
        <f t="shared" si="35"/>
        <v>0</v>
      </c>
      <c r="I32" s="21">
        <f t="shared" si="35"/>
        <v>0</v>
      </c>
      <c r="J32" s="21">
        <f t="shared" si="35"/>
        <v>0</v>
      </c>
      <c r="K32" s="21">
        <f t="shared" si="35"/>
        <v>23155.4</v>
      </c>
      <c r="L32" s="21">
        <f t="shared" si="35"/>
        <v>0</v>
      </c>
      <c r="M32" s="21">
        <f t="shared" si="35"/>
        <v>23155.4</v>
      </c>
      <c r="N32" s="21">
        <f t="shared" ref="N32:X32" si="36">+N33+N44</f>
        <v>76412.820000000007</v>
      </c>
      <c r="O32" s="21">
        <f t="shared" si="36"/>
        <v>0</v>
      </c>
      <c r="P32" s="21">
        <f t="shared" si="36"/>
        <v>2988.0299999999997</v>
      </c>
      <c r="Q32" s="21">
        <f t="shared" si="36"/>
        <v>3984.04</v>
      </c>
      <c r="R32" s="21">
        <f t="shared" si="36"/>
        <v>5788.85</v>
      </c>
      <c r="S32" s="21">
        <f t="shared" si="36"/>
        <v>6946.62</v>
      </c>
      <c r="T32" s="21">
        <f t="shared" si="36"/>
        <v>9262.16</v>
      </c>
      <c r="U32" s="21">
        <f t="shared" si="36"/>
        <v>11577.7</v>
      </c>
      <c r="V32" s="21">
        <f t="shared" si="36"/>
        <v>13893.24</v>
      </c>
      <c r="W32" s="21">
        <f t="shared" si="36"/>
        <v>18524.32</v>
      </c>
      <c r="X32" s="21">
        <f t="shared" si="36"/>
        <v>23155.4</v>
      </c>
      <c r="Y32" s="27"/>
      <c r="Z32" s="19"/>
    </row>
    <row r="33" spans="1:26" s="25" customFormat="1" ht="12.75" x14ac:dyDescent="0.25">
      <c r="A33" s="16" t="s">
        <v>147</v>
      </c>
      <c r="B33" s="17" t="s">
        <v>184</v>
      </c>
      <c r="C33" s="24"/>
      <c r="D33" s="24"/>
      <c r="E33" s="30"/>
      <c r="F33" s="24"/>
      <c r="G33" s="26">
        <f>+G34+G35+G36+G37+G38+G39+G40+G41+G42+G43</f>
        <v>31795</v>
      </c>
      <c r="H33" s="26">
        <f t="shared" ref="H33:N33" si="37">+H34+H35+H36+H37+H38+H39+H40+H41+H42+H43</f>
        <v>0</v>
      </c>
      <c r="I33" s="26">
        <f t="shared" si="37"/>
        <v>0</v>
      </c>
      <c r="J33" s="26">
        <f t="shared" si="37"/>
        <v>0</v>
      </c>
      <c r="K33" s="26">
        <f t="shared" si="37"/>
        <v>17170.400000000001</v>
      </c>
      <c r="L33" s="26">
        <f t="shared" si="37"/>
        <v>0</v>
      </c>
      <c r="M33" s="26">
        <f t="shared" si="37"/>
        <v>17170.400000000001</v>
      </c>
      <c r="N33" s="26">
        <f t="shared" ref="N33:X33" si="38">+N34+N35+N36+N37+N38+N39+N40+N41+N42+N43</f>
        <v>56662.320000000007</v>
      </c>
      <c r="O33" s="26">
        <f t="shared" si="38"/>
        <v>0</v>
      </c>
      <c r="P33" s="26">
        <f t="shared" si="38"/>
        <v>2090.2799999999997</v>
      </c>
      <c r="Q33" s="26">
        <f t="shared" si="38"/>
        <v>2787.04</v>
      </c>
      <c r="R33" s="26">
        <f t="shared" si="38"/>
        <v>4292.6000000000004</v>
      </c>
      <c r="S33" s="26">
        <f t="shared" si="38"/>
        <v>5151.12</v>
      </c>
      <c r="T33" s="26">
        <f t="shared" si="38"/>
        <v>6868.16</v>
      </c>
      <c r="U33" s="26">
        <f t="shared" si="38"/>
        <v>8585.2000000000007</v>
      </c>
      <c r="V33" s="26">
        <f t="shared" si="38"/>
        <v>10302.24</v>
      </c>
      <c r="W33" s="26">
        <f t="shared" si="38"/>
        <v>13736.32</v>
      </c>
      <c r="X33" s="26">
        <f t="shared" si="38"/>
        <v>17170.400000000001</v>
      </c>
      <c r="Y33" s="24"/>
      <c r="Z33" s="16"/>
    </row>
    <row r="34" spans="1:26" s="25" customFormat="1" ht="38.25" x14ac:dyDescent="0.25">
      <c r="A34" s="16">
        <v>3</v>
      </c>
      <c r="B34" s="34" t="s">
        <v>185</v>
      </c>
      <c r="C34" s="30" t="s">
        <v>176</v>
      </c>
      <c r="D34" s="30" t="s">
        <v>214</v>
      </c>
      <c r="E34" s="30">
        <v>2024</v>
      </c>
      <c r="F34" s="24"/>
      <c r="G34" s="26">
        <v>4320</v>
      </c>
      <c r="H34" s="26"/>
      <c r="I34" s="26"/>
      <c r="J34" s="26"/>
      <c r="K34" s="26">
        <f>+L34+M34</f>
        <v>1500</v>
      </c>
      <c r="L34" s="26"/>
      <c r="M34" s="26">
        <v>1500</v>
      </c>
      <c r="N34" s="26">
        <f t="shared" ref="N34:N43" si="39">+T34+U34+V34+W34+X34</f>
        <v>4950</v>
      </c>
      <c r="O34" s="26"/>
      <c r="P34" s="26">
        <f t="shared" ref="P34" si="40">+K34*15%</f>
        <v>225</v>
      </c>
      <c r="Q34" s="26">
        <f t="shared" ref="Q34" si="41">+K34*20%</f>
        <v>300</v>
      </c>
      <c r="R34" s="26">
        <f t="shared" si="17"/>
        <v>375</v>
      </c>
      <c r="S34" s="26">
        <f t="shared" si="3"/>
        <v>450</v>
      </c>
      <c r="T34" s="26">
        <f t="shared" si="8"/>
        <v>600</v>
      </c>
      <c r="U34" s="26">
        <f t="shared" si="9"/>
        <v>750</v>
      </c>
      <c r="V34" s="26">
        <f t="shared" si="10"/>
        <v>900</v>
      </c>
      <c r="W34" s="26">
        <f t="shared" si="11"/>
        <v>1200</v>
      </c>
      <c r="X34" s="26">
        <f t="shared" si="12"/>
        <v>1500</v>
      </c>
      <c r="Y34" s="30" t="s">
        <v>221</v>
      </c>
      <c r="Z34" s="16" t="s">
        <v>235</v>
      </c>
    </row>
    <row r="35" spans="1:26" s="25" customFormat="1" ht="51" x14ac:dyDescent="0.25">
      <c r="A35" s="16">
        <v>4</v>
      </c>
      <c r="B35" s="34" t="s">
        <v>186</v>
      </c>
      <c r="C35" s="30" t="s">
        <v>176</v>
      </c>
      <c r="D35" s="30" t="s">
        <v>123</v>
      </c>
      <c r="E35" s="30" t="s">
        <v>117</v>
      </c>
      <c r="F35" s="24"/>
      <c r="G35" s="26">
        <v>3465</v>
      </c>
      <c r="H35" s="26"/>
      <c r="I35" s="26"/>
      <c r="J35" s="26"/>
      <c r="K35" s="26">
        <f t="shared" ref="K35:K51" si="42">+L35+M35</f>
        <v>1500</v>
      </c>
      <c r="L35" s="26"/>
      <c r="M35" s="26">
        <v>1500</v>
      </c>
      <c r="N35" s="26">
        <f t="shared" si="39"/>
        <v>4950</v>
      </c>
      <c r="O35" s="26"/>
      <c r="P35" s="26">
        <f t="shared" ref="P35:P40" si="43">+K35*15%</f>
        <v>225</v>
      </c>
      <c r="Q35" s="26">
        <f t="shared" ref="Q35:Q40" si="44">+K35*20%</f>
        <v>300</v>
      </c>
      <c r="R35" s="26">
        <f t="shared" si="17"/>
        <v>375</v>
      </c>
      <c r="S35" s="26">
        <f t="shared" si="3"/>
        <v>450</v>
      </c>
      <c r="T35" s="26">
        <f t="shared" si="8"/>
        <v>600</v>
      </c>
      <c r="U35" s="26">
        <f t="shared" si="9"/>
        <v>750</v>
      </c>
      <c r="V35" s="26">
        <f t="shared" si="10"/>
        <v>900</v>
      </c>
      <c r="W35" s="26">
        <f t="shared" si="11"/>
        <v>1200</v>
      </c>
      <c r="X35" s="26">
        <f t="shared" si="12"/>
        <v>1500</v>
      </c>
      <c r="Y35" s="30" t="s">
        <v>45</v>
      </c>
      <c r="Z35" s="16" t="s">
        <v>235</v>
      </c>
    </row>
    <row r="36" spans="1:26" s="25" customFormat="1" ht="51" x14ac:dyDescent="0.25">
      <c r="A36" s="16">
        <v>5</v>
      </c>
      <c r="B36" s="34" t="s">
        <v>187</v>
      </c>
      <c r="C36" s="30" t="s">
        <v>176</v>
      </c>
      <c r="D36" s="30" t="s">
        <v>123</v>
      </c>
      <c r="E36" s="30" t="s">
        <v>117</v>
      </c>
      <c r="F36" s="24"/>
      <c r="G36" s="26">
        <v>2800</v>
      </c>
      <c r="H36" s="26"/>
      <c r="I36" s="26"/>
      <c r="J36" s="26"/>
      <c r="K36" s="26">
        <f t="shared" si="42"/>
        <v>2000</v>
      </c>
      <c r="L36" s="26"/>
      <c r="M36" s="26">
        <v>2000</v>
      </c>
      <c r="N36" s="26">
        <f t="shared" si="39"/>
        <v>6600</v>
      </c>
      <c r="O36" s="26"/>
      <c r="P36" s="26">
        <f t="shared" si="43"/>
        <v>300</v>
      </c>
      <c r="Q36" s="26">
        <f t="shared" si="44"/>
        <v>400</v>
      </c>
      <c r="R36" s="26">
        <f t="shared" si="17"/>
        <v>500</v>
      </c>
      <c r="S36" s="26">
        <f t="shared" si="3"/>
        <v>600</v>
      </c>
      <c r="T36" s="26">
        <f t="shared" si="8"/>
        <v>800</v>
      </c>
      <c r="U36" s="26">
        <f t="shared" si="9"/>
        <v>1000</v>
      </c>
      <c r="V36" s="26">
        <f t="shared" si="10"/>
        <v>1200</v>
      </c>
      <c r="W36" s="26">
        <f t="shared" si="11"/>
        <v>1600</v>
      </c>
      <c r="X36" s="26">
        <f t="shared" si="12"/>
        <v>2000</v>
      </c>
      <c r="Y36" s="30" t="s">
        <v>45</v>
      </c>
      <c r="Z36" s="16" t="s">
        <v>235</v>
      </c>
    </row>
    <row r="37" spans="1:26" s="25" customFormat="1" ht="38.25" x14ac:dyDescent="0.25">
      <c r="A37" s="16">
        <v>6</v>
      </c>
      <c r="B37" s="34" t="s">
        <v>188</v>
      </c>
      <c r="C37" s="30" t="s">
        <v>163</v>
      </c>
      <c r="D37" s="30" t="s">
        <v>214</v>
      </c>
      <c r="E37" s="30">
        <v>2024</v>
      </c>
      <c r="F37" s="24"/>
      <c r="G37" s="26">
        <v>500</v>
      </c>
      <c r="H37" s="26"/>
      <c r="I37" s="26"/>
      <c r="J37" s="26"/>
      <c r="K37" s="26">
        <f t="shared" si="42"/>
        <v>500</v>
      </c>
      <c r="L37" s="26"/>
      <c r="M37" s="26">
        <v>500</v>
      </c>
      <c r="N37" s="26">
        <f t="shared" si="39"/>
        <v>1650</v>
      </c>
      <c r="O37" s="26"/>
      <c r="P37" s="26">
        <f t="shared" si="43"/>
        <v>75</v>
      </c>
      <c r="Q37" s="26">
        <f t="shared" si="44"/>
        <v>100</v>
      </c>
      <c r="R37" s="26">
        <f t="shared" si="17"/>
        <v>125</v>
      </c>
      <c r="S37" s="26">
        <f t="shared" si="3"/>
        <v>150</v>
      </c>
      <c r="T37" s="26">
        <f t="shared" si="8"/>
        <v>200</v>
      </c>
      <c r="U37" s="26">
        <f t="shared" si="9"/>
        <v>250</v>
      </c>
      <c r="V37" s="26">
        <f t="shared" si="10"/>
        <v>300</v>
      </c>
      <c r="W37" s="26">
        <f t="shared" si="11"/>
        <v>400</v>
      </c>
      <c r="X37" s="26">
        <f t="shared" si="12"/>
        <v>500</v>
      </c>
      <c r="Y37" s="30" t="s">
        <v>220</v>
      </c>
      <c r="Z37" s="16" t="s">
        <v>235</v>
      </c>
    </row>
    <row r="38" spans="1:26" s="25" customFormat="1" ht="51" x14ac:dyDescent="0.25">
      <c r="A38" s="16">
        <v>7</v>
      </c>
      <c r="B38" s="34" t="s">
        <v>189</v>
      </c>
      <c r="C38" s="30" t="s">
        <v>163</v>
      </c>
      <c r="D38" s="24" t="s">
        <v>216</v>
      </c>
      <c r="E38" s="30">
        <v>2024</v>
      </c>
      <c r="F38" s="24"/>
      <c r="G38" s="26">
        <v>1000</v>
      </c>
      <c r="H38" s="26"/>
      <c r="I38" s="26"/>
      <c r="J38" s="26"/>
      <c r="K38" s="26">
        <f t="shared" si="42"/>
        <v>700</v>
      </c>
      <c r="L38" s="26"/>
      <c r="M38" s="26">
        <v>700</v>
      </c>
      <c r="N38" s="26">
        <f t="shared" si="39"/>
        <v>2310</v>
      </c>
      <c r="O38" s="26"/>
      <c r="P38" s="26">
        <f t="shared" si="43"/>
        <v>105</v>
      </c>
      <c r="Q38" s="26">
        <f t="shared" si="44"/>
        <v>140</v>
      </c>
      <c r="R38" s="26">
        <f t="shared" si="17"/>
        <v>175</v>
      </c>
      <c r="S38" s="26">
        <f t="shared" si="3"/>
        <v>210</v>
      </c>
      <c r="T38" s="26">
        <f t="shared" si="8"/>
        <v>280</v>
      </c>
      <c r="U38" s="26">
        <f t="shared" si="9"/>
        <v>350</v>
      </c>
      <c r="V38" s="26">
        <f t="shared" si="10"/>
        <v>420</v>
      </c>
      <c r="W38" s="26">
        <f t="shared" si="11"/>
        <v>560</v>
      </c>
      <c r="X38" s="26">
        <f t="shared" si="12"/>
        <v>700</v>
      </c>
      <c r="Y38" s="30" t="s">
        <v>45</v>
      </c>
      <c r="Z38" s="16" t="s">
        <v>235</v>
      </c>
    </row>
    <row r="39" spans="1:26" s="25" customFormat="1" ht="51" x14ac:dyDescent="0.25">
      <c r="A39" s="16">
        <v>8</v>
      </c>
      <c r="B39" s="34" t="s">
        <v>190</v>
      </c>
      <c r="C39" s="30" t="s">
        <v>163</v>
      </c>
      <c r="D39" s="24" t="s">
        <v>216</v>
      </c>
      <c r="E39" s="30">
        <v>2024</v>
      </c>
      <c r="F39" s="24"/>
      <c r="G39" s="26">
        <v>1000</v>
      </c>
      <c r="H39" s="26"/>
      <c r="I39" s="26"/>
      <c r="J39" s="26"/>
      <c r="K39" s="26">
        <f t="shared" si="42"/>
        <v>700</v>
      </c>
      <c r="L39" s="26"/>
      <c r="M39" s="26">
        <v>700</v>
      </c>
      <c r="N39" s="26">
        <f t="shared" si="39"/>
        <v>2310</v>
      </c>
      <c r="O39" s="26"/>
      <c r="P39" s="26">
        <f t="shared" si="43"/>
        <v>105</v>
      </c>
      <c r="Q39" s="26">
        <f t="shared" si="44"/>
        <v>140</v>
      </c>
      <c r="R39" s="26">
        <f t="shared" si="17"/>
        <v>175</v>
      </c>
      <c r="S39" s="26">
        <f t="shared" si="3"/>
        <v>210</v>
      </c>
      <c r="T39" s="26">
        <f t="shared" si="8"/>
        <v>280</v>
      </c>
      <c r="U39" s="26">
        <f t="shared" si="9"/>
        <v>350</v>
      </c>
      <c r="V39" s="26">
        <f t="shared" si="10"/>
        <v>420</v>
      </c>
      <c r="W39" s="26">
        <f t="shared" si="11"/>
        <v>560</v>
      </c>
      <c r="X39" s="26">
        <f t="shared" si="12"/>
        <v>700</v>
      </c>
      <c r="Y39" s="30" t="s">
        <v>45</v>
      </c>
      <c r="Z39" s="16" t="s">
        <v>235</v>
      </c>
    </row>
    <row r="40" spans="1:26" s="25" customFormat="1" ht="38.25" x14ac:dyDescent="0.25">
      <c r="A40" s="16">
        <v>9</v>
      </c>
      <c r="B40" s="34" t="s">
        <v>191</v>
      </c>
      <c r="C40" s="30" t="s">
        <v>163</v>
      </c>
      <c r="D40" s="30" t="s">
        <v>214</v>
      </c>
      <c r="E40" s="30">
        <v>2024</v>
      </c>
      <c r="F40" s="24"/>
      <c r="G40" s="26">
        <v>1800</v>
      </c>
      <c r="H40" s="26"/>
      <c r="I40" s="26"/>
      <c r="J40" s="26"/>
      <c r="K40" s="26">
        <f t="shared" si="42"/>
        <v>1800</v>
      </c>
      <c r="L40" s="26"/>
      <c r="M40" s="26">
        <v>1800</v>
      </c>
      <c r="N40" s="26">
        <f t="shared" si="39"/>
        <v>5940</v>
      </c>
      <c r="O40" s="26"/>
      <c r="P40" s="26">
        <f t="shared" si="43"/>
        <v>270</v>
      </c>
      <c r="Q40" s="26">
        <f t="shared" si="44"/>
        <v>360</v>
      </c>
      <c r="R40" s="26">
        <f t="shared" si="17"/>
        <v>450</v>
      </c>
      <c r="S40" s="26">
        <f t="shared" si="3"/>
        <v>540</v>
      </c>
      <c r="T40" s="26">
        <f t="shared" si="8"/>
        <v>720</v>
      </c>
      <c r="U40" s="26">
        <f t="shared" si="9"/>
        <v>900</v>
      </c>
      <c r="V40" s="26">
        <f t="shared" si="10"/>
        <v>1080</v>
      </c>
      <c r="W40" s="26">
        <f t="shared" si="11"/>
        <v>1440</v>
      </c>
      <c r="X40" s="26">
        <f t="shared" si="12"/>
        <v>1800</v>
      </c>
      <c r="Y40" s="30" t="s">
        <v>220</v>
      </c>
      <c r="Z40" s="16" t="s">
        <v>235</v>
      </c>
    </row>
    <row r="41" spans="1:26" s="25" customFormat="1" ht="51" x14ac:dyDescent="0.25">
      <c r="A41" s="16">
        <v>10</v>
      </c>
      <c r="B41" s="34" t="s">
        <v>192</v>
      </c>
      <c r="C41" s="30" t="s">
        <v>193</v>
      </c>
      <c r="D41" s="30" t="s">
        <v>214</v>
      </c>
      <c r="E41" s="30" t="s">
        <v>117</v>
      </c>
      <c r="F41" s="24"/>
      <c r="G41" s="26">
        <v>5600</v>
      </c>
      <c r="H41" s="26"/>
      <c r="I41" s="26"/>
      <c r="J41" s="26"/>
      <c r="K41" s="26">
        <f t="shared" si="42"/>
        <v>3235.2</v>
      </c>
      <c r="L41" s="26"/>
      <c r="M41" s="26">
        <v>3235.2</v>
      </c>
      <c r="N41" s="26">
        <f t="shared" si="39"/>
        <v>10676.16</v>
      </c>
      <c r="O41" s="26"/>
      <c r="P41" s="26"/>
      <c r="Q41" s="26"/>
      <c r="R41" s="26">
        <f t="shared" si="17"/>
        <v>808.8</v>
      </c>
      <c r="S41" s="26">
        <f t="shared" si="3"/>
        <v>970.56</v>
      </c>
      <c r="T41" s="26">
        <f t="shared" si="8"/>
        <v>1294.08</v>
      </c>
      <c r="U41" s="26">
        <f t="shared" si="9"/>
        <v>1617.6</v>
      </c>
      <c r="V41" s="26">
        <f t="shared" si="10"/>
        <v>1941.12</v>
      </c>
      <c r="W41" s="26">
        <f t="shared" si="11"/>
        <v>2588.16</v>
      </c>
      <c r="X41" s="26">
        <f t="shared" si="12"/>
        <v>3235.2</v>
      </c>
      <c r="Y41" s="30" t="s">
        <v>45</v>
      </c>
      <c r="Z41" s="16" t="s">
        <v>235</v>
      </c>
    </row>
    <row r="42" spans="1:26" s="25" customFormat="1" ht="51" x14ac:dyDescent="0.25">
      <c r="A42" s="16">
        <v>11</v>
      </c>
      <c r="B42" s="34" t="s">
        <v>194</v>
      </c>
      <c r="C42" s="30" t="s">
        <v>108</v>
      </c>
      <c r="D42" s="30" t="s">
        <v>123</v>
      </c>
      <c r="E42" s="30" t="s">
        <v>139</v>
      </c>
      <c r="F42" s="24"/>
      <c r="G42" s="26">
        <v>5450</v>
      </c>
      <c r="H42" s="26"/>
      <c r="I42" s="26"/>
      <c r="J42" s="26"/>
      <c r="K42" s="26">
        <f t="shared" si="42"/>
        <v>3235.2</v>
      </c>
      <c r="L42" s="26"/>
      <c r="M42" s="26">
        <v>3235.2</v>
      </c>
      <c r="N42" s="26">
        <f t="shared" si="39"/>
        <v>10676.16</v>
      </c>
      <c r="O42" s="26"/>
      <c r="P42" s="26">
        <f t="shared" ref="P42:P43" si="45">+K42*15%</f>
        <v>485.28</v>
      </c>
      <c r="Q42" s="26">
        <f t="shared" ref="Q42:Q43" si="46">+K42*20%</f>
        <v>647.04</v>
      </c>
      <c r="R42" s="26">
        <f t="shared" si="17"/>
        <v>808.8</v>
      </c>
      <c r="S42" s="26">
        <f t="shared" si="3"/>
        <v>970.56</v>
      </c>
      <c r="T42" s="26">
        <f t="shared" si="8"/>
        <v>1294.08</v>
      </c>
      <c r="U42" s="26">
        <f t="shared" si="9"/>
        <v>1617.6</v>
      </c>
      <c r="V42" s="26">
        <f t="shared" si="10"/>
        <v>1941.12</v>
      </c>
      <c r="W42" s="26">
        <f t="shared" si="11"/>
        <v>2588.16</v>
      </c>
      <c r="X42" s="26">
        <f t="shared" si="12"/>
        <v>3235.2</v>
      </c>
      <c r="Y42" s="30" t="s">
        <v>45</v>
      </c>
      <c r="Z42" s="16" t="s">
        <v>235</v>
      </c>
    </row>
    <row r="43" spans="1:26" s="25" customFormat="1" ht="51" x14ac:dyDescent="0.25">
      <c r="A43" s="16">
        <v>12</v>
      </c>
      <c r="B43" s="34" t="s">
        <v>195</v>
      </c>
      <c r="C43" s="30" t="s">
        <v>108</v>
      </c>
      <c r="D43" s="30" t="s">
        <v>123</v>
      </c>
      <c r="E43" s="30">
        <v>2024</v>
      </c>
      <c r="F43" s="24"/>
      <c r="G43" s="26">
        <v>5860</v>
      </c>
      <c r="H43" s="26"/>
      <c r="I43" s="26"/>
      <c r="J43" s="26"/>
      <c r="K43" s="26">
        <f t="shared" si="42"/>
        <v>2000</v>
      </c>
      <c r="L43" s="26"/>
      <c r="M43" s="26">
        <v>2000</v>
      </c>
      <c r="N43" s="26">
        <f t="shared" si="39"/>
        <v>6600</v>
      </c>
      <c r="O43" s="26"/>
      <c r="P43" s="26">
        <f t="shared" si="45"/>
        <v>300</v>
      </c>
      <c r="Q43" s="26">
        <f t="shared" si="46"/>
        <v>400</v>
      </c>
      <c r="R43" s="26">
        <f t="shared" si="17"/>
        <v>500</v>
      </c>
      <c r="S43" s="26">
        <f t="shared" si="3"/>
        <v>600</v>
      </c>
      <c r="T43" s="26">
        <f t="shared" si="8"/>
        <v>800</v>
      </c>
      <c r="U43" s="26">
        <f t="shared" si="9"/>
        <v>1000</v>
      </c>
      <c r="V43" s="26">
        <f t="shared" si="10"/>
        <v>1200</v>
      </c>
      <c r="W43" s="26">
        <f t="shared" si="11"/>
        <v>1600</v>
      </c>
      <c r="X43" s="26">
        <f t="shared" si="12"/>
        <v>2000</v>
      </c>
      <c r="Y43" s="30" t="s">
        <v>45</v>
      </c>
      <c r="Z43" s="16" t="s">
        <v>235</v>
      </c>
    </row>
    <row r="44" spans="1:26" s="25" customFormat="1" ht="12.75" x14ac:dyDescent="0.25">
      <c r="A44" s="16" t="s">
        <v>147</v>
      </c>
      <c r="B44" s="17" t="s">
        <v>199</v>
      </c>
      <c r="C44" s="16"/>
      <c r="D44" s="24"/>
      <c r="E44" s="30"/>
      <c r="F44" s="24"/>
      <c r="G44" s="26">
        <f>+G45+G46+G47+G48+G49</f>
        <v>7631</v>
      </c>
      <c r="H44" s="26">
        <f t="shared" ref="H44:X44" si="47">+H45+H46+H47+H48+H49</f>
        <v>0</v>
      </c>
      <c r="I44" s="26">
        <f t="shared" si="47"/>
        <v>0</v>
      </c>
      <c r="J44" s="26">
        <f t="shared" si="47"/>
        <v>0</v>
      </c>
      <c r="K44" s="26">
        <f t="shared" si="47"/>
        <v>5985</v>
      </c>
      <c r="L44" s="26">
        <f t="shared" si="47"/>
        <v>0</v>
      </c>
      <c r="M44" s="26">
        <f t="shared" si="47"/>
        <v>5985</v>
      </c>
      <c r="N44" s="26">
        <f t="shared" si="47"/>
        <v>19750.5</v>
      </c>
      <c r="O44" s="26">
        <f t="shared" si="47"/>
        <v>0</v>
      </c>
      <c r="P44" s="26">
        <f t="shared" si="47"/>
        <v>897.75</v>
      </c>
      <c r="Q44" s="26">
        <f t="shared" si="47"/>
        <v>1197.0000000000002</v>
      </c>
      <c r="R44" s="26">
        <f t="shared" si="47"/>
        <v>1496.25</v>
      </c>
      <c r="S44" s="26">
        <f t="shared" si="47"/>
        <v>1795.5</v>
      </c>
      <c r="T44" s="26">
        <f t="shared" si="47"/>
        <v>2394.0000000000005</v>
      </c>
      <c r="U44" s="26">
        <f t="shared" si="47"/>
        <v>2992.5</v>
      </c>
      <c r="V44" s="26">
        <f t="shared" si="47"/>
        <v>3591</v>
      </c>
      <c r="W44" s="26">
        <f t="shared" si="47"/>
        <v>4788.0000000000009</v>
      </c>
      <c r="X44" s="26">
        <f t="shared" si="47"/>
        <v>5985</v>
      </c>
      <c r="Y44" s="24"/>
      <c r="Z44" s="16"/>
    </row>
    <row r="45" spans="1:26" s="25" customFormat="1" ht="51" x14ac:dyDescent="0.25">
      <c r="A45" s="16">
        <v>15</v>
      </c>
      <c r="B45" s="34" t="s">
        <v>200</v>
      </c>
      <c r="C45" s="30" t="s">
        <v>130</v>
      </c>
      <c r="D45" s="24" t="s">
        <v>216</v>
      </c>
      <c r="E45" s="30">
        <v>2024</v>
      </c>
      <c r="F45" s="24"/>
      <c r="G45" s="26">
        <v>1196</v>
      </c>
      <c r="H45" s="26"/>
      <c r="I45" s="26"/>
      <c r="J45" s="26"/>
      <c r="K45" s="26">
        <f t="shared" si="42"/>
        <v>600</v>
      </c>
      <c r="L45" s="26"/>
      <c r="M45" s="26">
        <v>600</v>
      </c>
      <c r="N45" s="26">
        <f>+T45+U45+V45+W45+X45</f>
        <v>1980</v>
      </c>
      <c r="O45" s="26"/>
      <c r="P45" s="26">
        <f t="shared" ref="P45:P49" si="48">+K45*15%</f>
        <v>90</v>
      </c>
      <c r="Q45" s="26">
        <f t="shared" ref="Q45:Q49" si="49">+K45*20%</f>
        <v>120</v>
      </c>
      <c r="R45" s="26">
        <f t="shared" si="17"/>
        <v>150</v>
      </c>
      <c r="S45" s="26">
        <f t="shared" si="3"/>
        <v>180</v>
      </c>
      <c r="T45" s="26">
        <f t="shared" si="8"/>
        <v>240</v>
      </c>
      <c r="U45" s="26">
        <f t="shared" si="9"/>
        <v>300</v>
      </c>
      <c r="V45" s="26">
        <f t="shared" si="10"/>
        <v>360</v>
      </c>
      <c r="W45" s="26">
        <f t="shared" si="11"/>
        <v>480</v>
      </c>
      <c r="X45" s="26">
        <f t="shared" si="12"/>
        <v>600</v>
      </c>
      <c r="Y45" s="30" t="s">
        <v>222</v>
      </c>
      <c r="Z45" s="16" t="s">
        <v>235</v>
      </c>
    </row>
    <row r="46" spans="1:26" s="25" customFormat="1" ht="51" x14ac:dyDescent="0.25">
      <c r="A46" s="16">
        <v>16</v>
      </c>
      <c r="B46" s="34" t="s">
        <v>201</v>
      </c>
      <c r="C46" s="30" t="s">
        <v>137</v>
      </c>
      <c r="D46" s="30" t="s">
        <v>214</v>
      </c>
      <c r="E46" s="30">
        <v>2024</v>
      </c>
      <c r="F46" s="24"/>
      <c r="G46" s="26">
        <v>2800</v>
      </c>
      <c r="H46" s="26"/>
      <c r="I46" s="26"/>
      <c r="J46" s="26"/>
      <c r="K46" s="26">
        <f t="shared" si="42"/>
        <v>1750</v>
      </c>
      <c r="L46" s="26"/>
      <c r="M46" s="26">
        <v>1750</v>
      </c>
      <c r="N46" s="26">
        <f>+T46+U46+V46+W46+X46</f>
        <v>5775</v>
      </c>
      <c r="O46" s="26"/>
      <c r="P46" s="26">
        <f t="shared" si="48"/>
        <v>262.5</v>
      </c>
      <c r="Q46" s="26">
        <f t="shared" si="49"/>
        <v>350</v>
      </c>
      <c r="R46" s="26">
        <f t="shared" si="17"/>
        <v>437.5</v>
      </c>
      <c r="S46" s="26">
        <f t="shared" si="3"/>
        <v>525</v>
      </c>
      <c r="T46" s="26">
        <f t="shared" si="8"/>
        <v>700</v>
      </c>
      <c r="U46" s="26">
        <f t="shared" si="9"/>
        <v>875</v>
      </c>
      <c r="V46" s="26">
        <f t="shared" si="10"/>
        <v>1050</v>
      </c>
      <c r="W46" s="26">
        <f t="shared" si="11"/>
        <v>1400</v>
      </c>
      <c r="X46" s="26">
        <f t="shared" si="12"/>
        <v>1750</v>
      </c>
      <c r="Y46" s="30" t="s">
        <v>45</v>
      </c>
      <c r="Z46" s="16" t="s">
        <v>235</v>
      </c>
    </row>
    <row r="47" spans="1:26" s="25" customFormat="1" ht="38.25" x14ac:dyDescent="0.25">
      <c r="A47" s="16">
        <v>17</v>
      </c>
      <c r="B47" s="34" t="s">
        <v>202</v>
      </c>
      <c r="C47" s="30" t="s">
        <v>52</v>
      </c>
      <c r="D47" s="30" t="s">
        <v>214</v>
      </c>
      <c r="E47" s="30">
        <v>2024</v>
      </c>
      <c r="F47" s="24"/>
      <c r="G47" s="26">
        <v>651</v>
      </c>
      <c r="H47" s="26"/>
      <c r="I47" s="26"/>
      <c r="J47" s="26"/>
      <c r="K47" s="26">
        <f t="shared" si="42"/>
        <v>651</v>
      </c>
      <c r="L47" s="26"/>
      <c r="M47" s="26">
        <v>651</v>
      </c>
      <c r="N47" s="26">
        <f>+T47+U47+V47+W47+X47</f>
        <v>2148.3000000000002</v>
      </c>
      <c r="O47" s="26"/>
      <c r="P47" s="26">
        <f t="shared" si="48"/>
        <v>97.649999999999991</v>
      </c>
      <c r="Q47" s="26">
        <f t="shared" si="49"/>
        <v>130.20000000000002</v>
      </c>
      <c r="R47" s="26">
        <f t="shared" si="17"/>
        <v>162.75</v>
      </c>
      <c r="S47" s="26">
        <f t="shared" si="3"/>
        <v>195.29999999999998</v>
      </c>
      <c r="T47" s="26">
        <f t="shared" si="8"/>
        <v>260.40000000000003</v>
      </c>
      <c r="U47" s="26">
        <f t="shared" si="9"/>
        <v>325.5</v>
      </c>
      <c r="V47" s="26">
        <f t="shared" si="10"/>
        <v>390.59999999999997</v>
      </c>
      <c r="W47" s="26">
        <f t="shared" si="11"/>
        <v>520.80000000000007</v>
      </c>
      <c r="X47" s="26">
        <f t="shared" si="12"/>
        <v>651</v>
      </c>
      <c r="Y47" s="30" t="s">
        <v>223</v>
      </c>
      <c r="Z47" s="16" t="s">
        <v>235</v>
      </c>
    </row>
    <row r="48" spans="1:26" s="25" customFormat="1" ht="51" x14ac:dyDescent="0.25">
      <c r="A48" s="16">
        <v>19</v>
      </c>
      <c r="B48" s="34" t="s">
        <v>205</v>
      </c>
      <c r="C48" s="30" t="s">
        <v>204</v>
      </c>
      <c r="D48" s="30" t="s">
        <v>217</v>
      </c>
      <c r="E48" s="16">
        <v>2024</v>
      </c>
      <c r="F48" s="24"/>
      <c r="G48" s="26">
        <v>2332</v>
      </c>
      <c r="H48" s="26"/>
      <c r="I48" s="26"/>
      <c r="J48" s="26"/>
      <c r="K48" s="26">
        <f t="shared" si="42"/>
        <v>2332</v>
      </c>
      <c r="L48" s="26"/>
      <c r="M48" s="26">
        <v>2332</v>
      </c>
      <c r="N48" s="26">
        <f>+T48+U48+V48+W48+X48</f>
        <v>7695.6</v>
      </c>
      <c r="O48" s="26"/>
      <c r="P48" s="26">
        <f t="shared" si="48"/>
        <v>349.8</v>
      </c>
      <c r="Q48" s="26">
        <f t="shared" si="49"/>
        <v>466.40000000000003</v>
      </c>
      <c r="R48" s="26">
        <f t="shared" si="17"/>
        <v>583</v>
      </c>
      <c r="S48" s="26">
        <f t="shared" si="3"/>
        <v>699.6</v>
      </c>
      <c r="T48" s="26">
        <f t="shared" si="8"/>
        <v>932.80000000000007</v>
      </c>
      <c r="U48" s="26">
        <f t="shared" si="9"/>
        <v>1166</v>
      </c>
      <c r="V48" s="26">
        <f t="shared" si="10"/>
        <v>1399.2</v>
      </c>
      <c r="W48" s="26">
        <f t="shared" si="11"/>
        <v>1865.6000000000001</v>
      </c>
      <c r="X48" s="26">
        <f t="shared" si="12"/>
        <v>2332</v>
      </c>
      <c r="Y48" s="30" t="s">
        <v>45</v>
      </c>
      <c r="Z48" s="16" t="s">
        <v>235</v>
      </c>
    </row>
    <row r="49" spans="1:27" s="25" customFormat="1" ht="38.25" x14ac:dyDescent="0.25">
      <c r="A49" s="16">
        <v>21</v>
      </c>
      <c r="B49" s="34" t="s">
        <v>207</v>
      </c>
      <c r="C49" s="30" t="s">
        <v>90</v>
      </c>
      <c r="D49" s="30" t="s">
        <v>214</v>
      </c>
      <c r="E49" s="30">
        <v>2024</v>
      </c>
      <c r="F49" s="24"/>
      <c r="G49" s="26">
        <v>652</v>
      </c>
      <c r="H49" s="26"/>
      <c r="I49" s="26"/>
      <c r="J49" s="26"/>
      <c r="K49" s="26">
        <f t="shared" si="42"/>
        <v>652</v>
      </c>
      <c r="L49" s="26"/>
      <c r="M49" s="26">
        <v>652</v>
      </c>
      <c r="N49" s="26">
        <f>+T49+U49+V49+W49+X49</f>
        <v>2151.6</v>
      </c>
      <c r="O49" s="26"/>
      <c r="P49" s="26">
        <f t="shared" si="48"/>
        <v>97.8</v>
      </c>
      <c r="Q49" s="26">
        <f t="shared" si="49"/>
        <v>130.4</v>
      </c>
      <c r="R49" s="26">
        <f t="shared" si="17"/>
        <v>163</v>
      </c>
      <c r="S49" s="26">
        <f t="shared" si="3"/>
        <v>195.6</v>
      </c>
      <c r="T49" s="26">
        <f t="shared" si="8"/>
        <v>260.8</v>
      </c>
      <c r="U49" s="26">
        <f t="shared" si="9"/>
        <v>326</v>
      </c>
      <c r="V49" s="26">
        <f t="shared" si="10"/>
        <v>391.2</v>
      </c>
      <c r="W49" s="26">
        <f t="shared" si="11"/>
        <v>521.6</v>
      </c>
      <c r="X49" s="26">
        <f t="shared" si="12"/>
        <v>652</v>
      </c>
      <c r="Y49" s="30" t="s">
        <v>225</v>
      </c>
      <c r="Z49" s="16" t="s">
        <v>235</v>
      </c>
    </row>
    <row r="50" spans="1:27" s="28" customFormat="1" ht="25.5" x14ac:dyDescent="0.25">
      <c r="A50" s="19" t="s">
        <v>146</v>
      </c>
      <c r="B50" s="23" t="s">
        <v>208</v>
      </c>
      <c r="C50" s="19"/>
      <c r="D50" s="27"/>
      <c r="E50" s="14"/>
      <c r="F50" s="27"/>
      <c r="G50" s="21">
        <f>+G51</f>
        <v>10000</v>
      </c>
      <c r="H50" s="21">
        <f t="shared" ref="H50:X50" si="50">+H51</f>
        <v>0</v>
      </c>
      <c r="I50" s="21">
        <f t="shared" si="50"/>
        <v>0</v>
      </c>
      <c r="J50" s="21">
        <f t="shared" si="50"/>
        <v>0</v>
      </c>
      <c r="K50" s="21">
        <f t="shared" si="50"/>
        <v>5456</v>
      </c>
      <c r="L50" s="21">
        <f t="shared" si="50"/>
        <v>0</v>
      </c>
      <c r="M50" s="21">
        <f t="shared" si="50"/>
        <v>5456</v>
      </c>
      <c r="N50" s="21">
        <f t="shared" si="50"/>
        <v>18004.8</v>
      </c>
      <c r="O50" s="21">
        <f t="shared" si="50"/>
        <v>0</v>
      </c>
      <c r="P50" s="21">
        <f t="shared" si="50"/>
        <v>0</v>
      </c>
      <c r="Q50" s="21">
        <f t="shared" si="50"/>
        <v>0</v>
      </c>
      <c r="R50" s="21">
        <f t="shared" si="50"/>
        <v>1364</v>
      </c>
      <c r="S50" s="21">
        <f t="shared" si="50"/>
        <v>1636.8</v>
      </c>
      <c r="T50" s="21">
        <f t="shared" si="50"/>
        <v>2182.4</v>
      </c>
      <c r="U50" s="21">
        <f t="shared" si="50"/>
        <v>2728</v>
      </c>
      <c r="V50" s="21">
        <f t="shared" si="50"/>
        <v>3273.6</v>
      </c>
      <c r="W50" s="21">
        <f t="shared" si="50"/>
        <v>4364.8</v>
      </c>
      <c r="X50" s="21">
        <f t="shared" si="50"/>
        <v>5456</v>
      </c>
      <c r="Y50" s="27"/>
      <c r="Z50" s="19"/>
    </row>
    <row r="51" spans="1:27" s="25" customFormat="1" ht="51" x14ac:dyDescent="0.25">
      <c r="A51" s="16">
        <v>23</v>
      </c>
      <c r="B51" s="34" t="s">
        <v>210</v>
      </c>
      <c r="C51" s="30" t="s">
        <v>198</v>
      </c>
      <c r="D51" s="24" t="s">
        <v>123</v>
      </c>
      <c r="E51" s="30" t="s">
        <v>117</v>
      </c>
      <c r="F51" s="24"/>
      <c r="G51" s="26">
        <v>10000</v>
      </c>
      <c r="H51" s="26"/>
      <c r="I51" s="26"/>
      <c r="J51" s="26"/>
      <c r="K51" s="26">
        <f t="shared" si="42"/>
        <v>5456</v>
      </c>
      <c r="L51" s="26"/>
      <c r="M51" s="26">
        <v>5456</v>
      </c>
      <c r="N51" s="26">
        <f>+T51+U51+V51+W51+X51</f>
        <v>18004.8</v>
      </c>
      <c r="O51" s="26"/>
      <c r="P51" s="26"/>
      <c r="Q51" s="26"/>
      <c r="R51" s="26">
        <f t="shared" si="17"/>
        <v>1364</v>
      </c>
      <c r="S51" s="26">
        <f t="shared" si="3"/>
        <v>1636.8</v>
      </c>
      <c r="T51" s="26">
        <f t="shared" si="8"/>
        <v>2182.4</v>
      </c>
      <c r="U51" s="26">
        <f t="shared" si="9"/>
        <v>2728</v>
      </c>
      <c r="V51" s="26">
        <f t="shared" si="10"/>
        <v>3273.6</v>
      </c>
      <c r="W51" s="26">
        <f t="shared" si="11"/>
        <v>4364.8</v>
      </c>
      <c r="X51" s="26">
        <f t="shared" si="12"/>
        <v>5456</v>
      </c>
      <c r="Y51" s="30" t="s">
        <v>45</v>
      </c>
      <c r="Z51" s="16" t="s">
        <v>235</v>
      </c>
    </row>
    <row r="52" spans="1:27" s="28" customFormat="1" ht="49.5" customHeight="1" x14ac:dyDescent="0.25">
      <c r="A52" s="19" t="s">
        <v>146</v>
      </c>
      <c r="B52" s="23" t="s">
        <v>211</v>
      </c>
      <c r="C52" s="27"/>
      <c r="D52" s="27"/>
      <c r="E52" s="14"/>
      <c r="F52" s="27"/>
      <c r="G52" s="21">
        <f>+G53</f>
        <v>173</v>
      </c>
      <c r="H52" s="21"/>
      <c r="I52" s="21"/>
      <c r="J52" s="21"/>
      <c r="K52" s="21">
        <f>+K53</f>
        <v>173</v>
      </c>
      <c r="L52" s="21">
        <f t="shared" ref="L52:N52" si="51">+L53</f>
        <v>0</v>
      </c>
      <c r="M52" s="21">
        <f t="shared" si="51"/>
        <v>173</v>
      </c>
      <c r="N52" s="21">
        <f t="shared" si="51"/>
        <v>570.9</v>
      </c>
      <c r="O52" s="21"/>
      <c r="P52" s="21"/>
      <c r="Q52" s="21"/>
      <c r="R52" s="26">
        <f t="shared" si="17"/>
        <v>43.25</v>
      </c>
      <c r="S52" s="21">
        <f t="shared" si="3"/>
        <v>51.9</v>
      </c>
      <c r="T52" s="21">
        <f t="shared" si="8"/>
        <v>69.2</v>
      </c>
      <c r="U52" s="21">
        <f t="shared" si="9"/>
        <v>86.5</v>
      </c>
      <c r="V52" s="21">
        <f t="shared" si="10"/>
        <v>103.8</v>
      </c>
      <c r="W52" s="21">
        <f t="shared" si="11"/>
        <v>138.4</v>
      </c>
      <c r="X52" s="21">
        <f t="shared" si="12"/>
        <v>173</v>
      </c>
      <c r="Y52" s="27"/>
      <c r="Z52" s="19"/>
    </row>
    <row r="53" spans="1:27" s="25" customFormat="1" ht="38.25" x14ac:dyDescent="0.25">
      <c r="A53" s="16">
        <v>24</v>
      </c>
      <c r="B53" s="34" t="s">
        <v>212</v>
      </c>
      <c r="C53" s="30" t="s">
        <v>213</v>
      </c>
      <c r="D53" s="24" t="s">
        <v>123</v>
      </c>
      <c r="E53" s="30">
        <v>2024</v>
      </c>
      <c r="F53" s="24"/>
      <c r="G53" s="26">
        <v>173</v>
      </c>
      <c r="H53" s="26"/>
      <c r="I53" s="26"/>
      <c r="J53" s="26"/>
      <c r="K53" s="26">
        <f>+L53+M53</f>
        <v>173</v>
      </c>
      <c r="L53" s="26"/>
      <c r="M53" s="26">
        <v>173</v>
      </c>
      <c r="N53" s="26">
        <f>+T53+U53+V53+W53+X53</f>
        <v>570.9</v>
      </c>
      <c r="O53" s="26"/>
      <c r="P53" s="26"/>
      <c r="Q53" s="26"/>
      <c r="R53" s="26">
        <f t="shared" si="17"/>
        <v>43.25</v>
      </c>
      <c r="S53" s="26">
        <f t="shared" si="3"/>
        <v>51.9</v>
      </c>
      <c r="T53" s="26">
        <f t="shared" si="8"/>
        <v>69.2</v>
      </c>
      <c r="U53" s="26">
        <f t="shared" si="9"/>
        <v>86.5</v>
      </c>
      <c r="V53" s="26">
        <f t="shared" si="10"/>
        <v>103.8</v>
      </c>
      <c r="W53" s="26">
        <f t="shared" si="11"/>
        <v>138.4</v>
      </c>
      <c r="X53" s="26">
        <f t="shared" si="12"/>
        <v>173</v>
      </c>
      <c r="Y53" s="30" t="s">
        <v>221</v>
      </c>
      <c r="Z53" s="16" t="s">
        <v>235</v>
      </c>
    </row>
    <row r="54" spans="1:27" s="25" customFormat="1" ht="12.75" x14ac:dyDescent="0.25">
      <c r="A54" s="36" t="s">
        <v>321</v>
      </c>
      <c r="B54" s="36" t="s">
        <v>322</v>
      </c>
      <c r="C54" s="30"/>
      <c r="D54" s="24"/>
      <c r="E54" s="30"/>
      <c r="F54" s="37"/>
      <c r="G54" s="38">
        <f t="shared" ref="G54" si="52">G55+G68</f>
        <v>0</v>
      </c>
      <c r="H54" s="38">
        <f t="shared" ref="H54" si="53">H55+H68</f>
        <v>0</v>
      </c>
      <c r="I54" s="38">
        <f t="shared" ref="I54" si="54">I55+I68</f>
        <v>0</v>
      </c>
      <c r="J54" s="38">
        <f t="shared" ref="J54" si="55">J55+J68</f>
        <v>0</v>
      </c>
      <c r="K54" s="38">
        <f>K55+K68</f>
        <v>38</v>
      </c>
      <c r="L54" s="38">
        <f t="shared" ref="L54:X54" si="56">L55+L68</f>
        <v>38</v>
      </c>
      <c r="M54" s="38">
        <f t="shared" si="56"/>
        <v>0</v>
      </c>
      <c r="N54" s="38">
        <f t="shared" si="56"/>
        <v>68.400000000000006</v>
      </c>
      <c r="O54" s="38"/>
      <c r="P54" s="38"/>
      <c r="Q54" s="38"/>
      <c r="R54" s="26">
        <f t="shared" si="17"/>
        <v>9.5</v>
      </c>
      <c r="S54" s="21">
        <f t="shared" si="3"/>
        <v>11.4</v>
      </c>
      <c r="T54" s="38">
        <f t="shared" si="56"/>
        <v>0</v>
      </c>
      <c r="U54" s="38">
        <f t="shared" si="56"/>
        <v>0</v>
      </c>
      <c r="V54" s="38">
        <f t="shared" si="56"/>
        <v>0</v>
      </c>
      <c r="W54" s="38">
        <f t="shared" si="56"/>
        <v>30.400000000000002</v>
      </c>
      <c r="X54" s="38">
        <f t="shared" si="56"/>
        <v>38</v>
      </c>
      <c r="Y54" s="30"/>
      <c r="Z54" s="16"/>
      <c r="AA54" s="25">
        <f>T54/K54</f>
        <v>0</v>
      </c>
    </row>
    <row r="55" spans="1:27" s="25" customFormat="1" ht="45" customHeight="1" x14ac:dyDescent="0.25">
      <c r="A55" s="39" t="s">
        <v>33</v>
      </c>
      <c r="B55" s="40" t="s">
        <v>312</v>
      </c>
      <c r="C55" s="30"/>
      <c r="D55" s="24"/>
      <c r="E55" s="30"/>
      <c r="F55" s="41"/>
      <c r="G55" s="42">
        <f t="shared" ref="G55:G57" si="57">G56</f>
        <v>0</v>
      </c>
      <c r="H55" s="42">
        <f t="shared" ref="H55:H57" si="58">H56</f>
        <v>0</v>
      </c>
      <c r="I55" s="42">
        <f t="shared" ref="I55:I57" si="59">I56</f>
        <v>0</v>
      </c>
      <c r="J55" s="42">
        <f t="shared" ref="J55:J57" si="60">J56</f>
        <v>0</v>
      </c>
      <c r="K55" s="42">
        <f>K56</f>
        <v>38</v>
      </c>
      <c r="L55" s="42">
        <f t="shared" ref="L55:X57" si="61">L56</f>
        <v>38</v>
      </c>
      <c r="M55" s="42">
        <f t="shared" si="61"/>
        <v>0</v>
      </c>
      <c r="N55" s="42">
        <f t="shared" si="61"/>
        <v>68.400000000000006</v>
      </c>
      <c r="O55" s="42"/>
      <c r="P55" s="42"/>
      <c r="Q55" s="42"/>
      <c r="R55" s="26">
        <f t="shared" si="17"/>
        <v>9.5</v>
      </c>
      <c r="S55" s="21">
        <f t="shared" si="3"/>
        <v>11.4</v>
      </c>
      <c r="T55" s="42">
        <f t="shared" si="61"/>
        <v>0</v>
      </c>
      <c r="U55" s="42">
        <f t="shared" si="61"/>
        <v>0</v>
      </c>
      <c r="V55" s="42">
        <f t="shared" si="61"/>
        <v>0</v>
      </c>
      <c r="W55" s="42">
        <f t="shared" si="61"/>
        <v>30.400000000000002</v>
      </c>
      <c r="X55" s="42">
        <f t="shared" si="61"/>
        <v>38</v>
      </c>
      <c r="Y55" s="30"/>
      <c r="Z55" s="16"/>
    </row>
    <row r="56" spans="1:27" s="25" customFormat="1" ht="12.75" x14ac:dyDescent="0.25">
      <c r="A56" s="36"/>
      <c r="B56" s="43" t="s">
        <v>313</v>
      </c>
      <c r="C56" s="30"/>
      <c r="D56" s="24"/>
      <c r="E56" s="30"/>
      <c r="F56" s="44"/>
      <c r="G56" s="45">
        <f t="shared" si="57"/>
        <v>0</v>
      </c>
      <c r="H56" s="45">
        <f t="shared" si="58"/>
        <v>0</v>
      </c>
      <c r="I56" s="45">
        <f t="shared" si="59"/>
        <v>0</v>
      </c>
      <c r="J56" s="45">
        <f t="shared" si="60"/>
        <v>0</v>
      </c>
      <c r="K56" s="45">
        <f>K57</f>
        <v>38</v>
      </c>
      <c r="L56" s="45">
        <f t="shared" si="61"/>
        <v>38</v>
      </c>
      <c r="M56" s="45">
        <f t="shared" si="61"/>
        <v>0</v>
      </c>
      <c r="N56" s="45">
        <f t="shared" si="61"/>
        <v>68.400000000000006</v>
      </c>
      <c r="O56" s="45"/>
      <c r="P56" s="45"/>
      <c r="Q56" s="45"/>
      <c r="R56" s="26">
        <f t="shared" si="17"/>
        <v>9.5</v>
      </c>
      <c r="S56" s="21">
        <f t="shared" si="3"/>
        <v>11.4</v>
      </c>
      <c r="T56" s="45">
        <f t="shared" si="61"/>
        <v>0</v>
      </c>
      <c r="U56" s="45">
        <f t="shared" si="61"/>
        <v>0</v>
      </c>
      <c r="V56" s="45">
        <f t="shared" si="61"/>
        <v>0</v>
      </c>
      <c r="W56" s="45">
        <f t="shared" si="61"/>
        <v>30.400000000000002</v>
      </c>
      <c r="X56" s="45">
        <f t="shared" si="61"/>
        <v>38</v>
      </c>
      <c r="Y56" s="30"/>
      <c r="Z56" s="16"/>
    </row>
    <row r="57" spans="1:27" s="25" customFormat="1" ht="36" customHeight="1" x14ac:dyDescent="0.25">
      <c r="A57" s="46"/>
      <c r="B57" s="23" t="s">
        <v>179</v>
      </c>
      <c r="C57" s="30"/>
      <c r="D57" s="24"/>
      <c r="E57" s="30"/>
      <c r="F57" s="47"/>
      <c r="G57" s="48">
        <f t="shared" si="57"/>
        <v>0</v>
      </c>
      <c r="H57" s="48">
        <f t="shared" si="58"/>
        <v>0</v>
      </c>
      <c r="I57" s="48">
        <f t="shared" si="59"/>
        <v>0</v>
      </c>
      <c r="J57" s="48">
        <f t="shared" si="60"/>
        <v>0</v>
      </c>
      <c r="K57" s="48">
        <f>K58</f>
        <v>38</v>
      </c>
      <c r="L57" s="48">
        <f t="shared" si="61"/>
        <v>38</v>
      </c>
      <c r="M57" s="48">
        <f t="shared" si="61"/>
        <v>0</v>
      </c>
      <c r="N57" s="48">
        <f t="shared" si="61"/>
        <v>68.400000000000006</v>
      </c>
      <c r="O57" s="48"/>
      <c r="P57" s="48"/>
      <c r="Q57" s="48"/>
      <c r="R57" s="26">
        <f t="shared" si="17"/>
        <v>9.5</v>
      </c>
      <c r="S57" s="26">
        <f t="shared" si="3"/>
        <v>11.4</v>
      </c>
      <c r="T57" s="48">
        <f t="shared" si="61"/>
        <v>0</v>
      </c>
      <c r="U57" s="48">
        <f t="shared" si="61"/>
        <v>0</v>
      </c>
      <c r="V57" s="48">
        <f t="shared" si="61"/>
        <v>0</v>
      </c>
      <c r="W57" s="48">
        <f t="shared" si="61"/>
        <v>30.400000000000002</v>
      </c>
      <c r="X57" s="48">
        <f t="shared" si="61"/>
        <v>38</v>
      </c>
      <c r="Y57" s="30"/>
      <c r="Z57" s="16"/>
    </row>
    <row r="58" spans="1:27" s="25" customFormat="1" ht="38.25" x14ac:dyDescent="0.25">
      <c r="A58" s="49">
        <v>1</v>
      </c>
      <c r="B58" s="34" t="s">
        <v>314</v>
      </c>
      <c r="C58" s="30"/>
      <c r="D58" s="24"/>
      <c r="E58" s="30"/>
      <c r="F58" s="24"/>
      <c r="G58" s="50"/>
      <c r="H58" s="50"/>
      <c r="I58" s="50"/>
      <c r="J58" s="50"/>
      <c r="K58" s="50">
        <f t="shared" ref="K58" si="62">+L58+M58</f>
        <v>38</v>
      </c>
      <c r="L58" s="51">
        <v>38</v>
      </c>
      <c r="M58" s="50"/>
      <c r="N58" s="50">
        <f t="shared" ref="N58" si="63">+T58+U58+V58+W58+X58</f>
        <v>68.400000000000006</v>
      </c>
      <c r="O58" s="50"/>
      <c r="P58" s="50"/>
      <c r="Q58" s="50"/>
      <c r="R58" s="26">
        <f t="shared" si="17"/>
        <v>9.5</v>
      </c>
      <c r="S58" s="26">
        <f t="shared" si="3"/>
        <v>11.4</v>
      </c>
      <c r="T58" s="50"/>
      <c r="U58" s="50"/>
      <c r="V58" s="50"/>
      <c r="W58" s="50">
        <f>+K58*80%</f>
        <v>30.400000000000002</v>
      </c>
      <c r="X58" s="26">
        <f>+K58*100%</f>
        <v>38</v>
      </c>
      <c r="Y58" s="30"/>
      <c r="Z58" s="30" t="s">
        <v>327</v>
      </c>
    </row>
    <row r="59" spans="1:27" s="52" customFormat="1" ht="21" customHeight="1" x14ac:dyDescent="0.2">
      <c r="A59" s="19" t="s">
        <v>310</v>
      </c>
      <c r="B59" s="23" t="s">
        <v>273</v>
      </c>
      <c r="C59" s="14"/>
      <c r="D59" s="14"/>
      <c r="E59" s="14"/>
      <c r="F59" s="27"/>
      <c r="G59" s="21">
        <f>+G60</f>
        <v>1500</v>
      </c>
      <c r="H59" s="21">
        <f t="shared" ref="H59:X59" si="64">+H60</f>
        <v>0</v>
      </c>
      <c r="I59" s="21">
        <f t="shared" si="64"/>
        <v>0</v>
      </c>
      <c r="J59" s="21">
        <f t="shared" si="64"/>
        <v>0</v>
      </c>
      <c r="K59" s="21">
        <f t="shared" si="64"/>
        <v>1500</v>
      </c>
      <c r="L59" s="21">
        <f t="shared" si="64"/>
        <v>0</v>
      </c>
      <c r="M59" s="21">
        <f t="shared" si="64"/>
        <v>1500</v>
      </c>
      <c r="N59" s="21">
        <f t="shared" si="64"/>
        <v>4950</v>
      </c>
      <c r="O59" s="21">
        <f t="shared" si="64"/>
        <v>0</v>
      </c>
      <c r="P59" s="21">
        <f t="shared" si="64"/>
        <v>225</v>
      </c>
      <c r="Q59" s="21">
        <f t="shared" si="64"/>
        <v>300</v>
      </c>
      <c r="R59" s="21">
        <f t="shared" si="64"/>
        <v>375</v>
      </c>
      <c r="S59" s="21">
        <f t="shared" si="64"/>
        <v>450</v>
      </c>
      <c r="T59" s="21">
        <f t="shared" si="64"/>
        <v>600</v>
      </c>
      <c r="U59" s="21">
        <f t="shared" si="64"/>
        <v>750</v>
      </c>
      <c r="V59" s="21">
        <f t="shared" si="64"/>
        <v>900</v>
      </c>
      <c r="W59" s="21">
        <f t="shared" si="64"/>
        <v>1200</v>
      </c>
      <c r="X59" s="21">
        <f t="shared" si="64"/>
        <v>1500</v>
      </c>
      <c r="Y59" s="37"/>
      <c r="Z59" s="14"/>
      <c r="AA59" s="19"/>
    </row>
    <row r="60" spans="1:27" s="53" customFormat="1" ht="51" x14ac:dyDescent="0.2">
      <c r="A60" s="19" t="s">
        <v>146</v>
      </c>
      <c r="B60" s="23" t="s">
        <v>274</v>
      </c>
      <c r="C60" s="14"/>
      <c r="D60" s="14"/>
      <c r="E60" s="14"/>
      <c r="F60" s="27"/>
      <c r="G60" s="21">
        <f>+G61+G70+G73+G79</f>
        <v>1500</v>
      </c>
      <c r="H60" s="21">
        <f t="shared" ref="H60:M60" si="65">+H61+H70+H73+H79</f>
        <v>0</v>
      </c>
      <c r="I60" s="21">
        <f t="shared" si="65"/>
        <v>0</v>
      </c>
      <c r="J60" s="21">
        <f t="shared" si="65"/>
        <v>0</v>
      </c>
      <c r="K60" s="21">
        <f t="shared" si="65"/>
        <v>1500</v>
      </c>
      <c r="L60" s="21">
        <f t="shared" si="65"/>
        <v>0</v>
      </c>
      <c r="M60" s="21">
        <f t="shared" si="65"/>
        <v>1500</v>
      </c>
      <c r="N60" s="21">
        <f t="shared" ref="N60:X60" si="66">+N61+N70+N73+N79</f>
        <v>4950</v>
      </c>
      <c r="O60" s="21">
        <f t="shared" si="66"/>
        <v>0</v>
      </c>
      <c r="P60" s="21">
        <f t="shared" si="66"/>
        <v>225</v>
      </c>
      <c r="Q60" s="21">
        <f t="shared" si="66"/>
        <v>300</v>
      </c>
      <c r="R60" s="21">
        <f t="shared" si="66"/>
        <v>375</v>
      </c>
      <c r="S60" s="21">
        <f t="shared" si="66"/>
        <v>450</v>
      </c>
      <c r="T60" s="21">
        <f t="shared" si="66"/>
        <v>600</v>
      </c>
      <c r="U60" s="21">
        <f t="shared" si="66"/>
        <v>750</v>
      </c>
      <c r="V60" s="21">
        <f t="shared" si="66"/>
        <v>900</v>
      </c>
      <c r="W60" s="21">
        <f t="shared" si="66"/>
        <v>1200</v>
      </c>
      <c r="X60" s="21">
        <f t="shared" si="66"/>
        <v>1500</v>
      </c>
      <c r="Y60" s="37"/>
      <c r="Z60" s="14"/>
      <c r="AA60" s="19"/>
    </row>
    <row r="61" spans="1:27" s="53" customFormat="1" ht="25.5" x14ac:dyDescent="0.2">
      <c r="A61" s="19" t="s">
        <v>147</v>
      </c>
      <c r="B61" s="23" t="s">
        <v>293</v>
      </c>
      <c r="C61" s="14"/>
      <c r="D61" s="14"/>
      <c r="E61" s="30"/>
      <c r="F61" s="27"/>
      <c r="G61" s="21">
        <f>+G62</f>
        <v>1500</v>
      </c>
      <c r="H61" s="21"/>
      <c r="I61" s="21">
        <f t="shared" ref="I61:X61" si="67">+I62</f>
        <v>0</v>
      </c>
      <c r="J61" s="21">
        <f t="shared" si="67"/>
        <v>0</v>
      </c>
      <c r="K61" s="21">
        <f t="shared" si="67"/>
        <v>1500</v>
      </c>
      <c r="L61" s="21"/>
      <c r="M61" s="21">
        <f t="shared" si="67"/>
        <v>1500</v>
      </c>
      <c r="N61" s="21">
        <f t="shared" si="67"/>
        <v>4950</v>
      </c>
      <c r="O61" s="21">
        <f t="shared" si="67"/>
        <v>0</v>
      </c>
      <c r="P61" s="21">
        <f t="shared" si="67"/>
        <v>225</v>
      </c>
      <c r="Q61" s="21">
        <f t="shared" si="67"/>
        <v>300</v>
      </c>
      <c r="R61" s="21">
        <f t="shared" si="67"/>
        <v>375</v>
      </c>
      <c r="S61" s="21">
        <f t="shared" si="67"/>
        <v>450</v>
      </c>
      <c r="T61" s="21">
        <f t="shared" si="67"/>
        <v>600</v>
      </c>
      <c r="U61" s="21">
        <f t="shared" si="67"/>
        <v>750</v>
      </c>
      <c r="V61" s="21">
        <f t="shared" si="67"/>
        <v>900</v>
      </c>
      <c r="W61" s="21">
        <f t="shared" si="67"/>
        <v>1200</v>
      </c>
      <c r="X61" s="21">
        <f t="shared" si="67"/>
        <v>1500</v>
      </c>
      <c r="Y61" s="30"/>
      <c r="Z61" s="16"/>
    </row>
    <row r="62" spans="1:27" ht="51" x14ac:dyDescent="0.25">
      <c r="A62" s="16">
        <v>16</v>
      </c>
      <c r="B62" s="34" t="s">
        <v>294</v>
      </c>
      <c r="C62" s="30" t="s">
        <v>299</v>
      </c>
      <c r="D62" s="30"/>
      <c r="E62" s="30">
        <v>2024</v>
      </c>
      <c r="F62" s="27"/>
      <c r="G62" s="26">
        <v>1500</v>
      </c>
      <c r="H62" s="26"/>
      <c r="I62" s="26"/>
      <c r="J62" s="26"/>
      <c r="K62" s="26">
        <f t="shared" ref="K62" si="68">+L62+M62</f>
        <v>1500</v>
      </c>
      <c r="L62" s="26"/>
      <c r="M62" s="26">
        <v>1500</v>
      </c>
      <c r="N62" s="26">
        <f t="shared" ref="N62" si="69">+T62+U62+V62+W62+X62</f>
        <v>4950</v>
      </c>
      <c r="O62" s="26"/>
      <c r="P62" s="26">
        <f t="shared" ref="P62" si="70">+K62*15%</f>
        <v>225</v>
      </c>
      <c r="Q62" s="26">
        <f t="shared" ref="Q62" si="71">+K62*20%</f>
        <v>300</v>
      </c>
      <c r="R62" s="26">
        <f t="shared" si="17"/>
        <v>375</v>
      </c>
      <c r="S62" s="26">
        <f t="shared" si="3"/>
        <v>450</v>
      </c>
      <c r="T62" s="26">
        <f>+K62*40%</f>
        <v>600</v>
      </c>
      <c r="U62" s="26">
        <f>+K62*50%</f>
        <v>750</v>
      </c>
      <c r="V62" s="26">
        <f>+K62*60%</f>
        <v>900</v>
      </c>
      <c r="W62" s="26">
        <f>+K62*80%</f>
        <v>1200</v>
      </c>
      <c r="X62" s="26">
        <f>+K62*100%</f>
        <v>1500</v>
      </c>
      <c r="Y62" s="30" t="s">
        <v>45</v>
      </c>
      <c r="Z62" s="16" t="s">
        <v>235</v>
      </c>
    </row>
    <row r="63" spans="1:27" s="56" customFormat="1" ht="12.75" x14ac:dyDescent="0.2">
      <c r="A63" s="54"/>
      <c r="B63" s="55"/>
      <c r="E63" s="54"/>
      <c r="K63" s="57"/>
      <c r="L63" s="57"/>
      <c r="M63" s="57"/>
      <c r="N63" s="57"/>
      <c r="O63" s="57"/>
      <c r="P63" s="57"/>
      <c r="Q63" s="57"/>
      <c r="R63" s="57"/>
      <c r="S63" s="57"/>
      <c r="T63" s="57"/>
      <c r="U63" s="57"/>
      <c r="V63" s="57"/>
      <c r="W63" s="57"/>
      <c r="X63" s="57"/>
      <c r="Z63" s="58"/>
    </row>
    <row r="64" spans="1:27" s="56" customFormat="1" ht="12.75" x14ac:dyDescent="0.2">
      <c r="A64" s="54"/>
      <c r="B64" s="55"/>
      <c r="E64" s="54"/>
      <c r="K64" s="57"/>
      <c r="L64" s="57"/>
      <c r="M64" s="57"/>
      <c r="N64" s="57"/>
      <c r="O64" s="57"/>
      <c r="P64" s="57"/>
      <c r="Q64" s="57"/>
      <c r="R64" s="57"/>
      <c r="S64" s="57"/>
      <c r="T64" s="57"/>
      <c r="U64" s="57"/>
      <c r="V64" s="57"/>
      <c r="W64" s="57"/>
      <c r="X64" s="57"/>
      <c r="Z64" s="58"/>
    </row>
    <row r="65" spans="1:26" s="56" customFormat="1" ht="12.75" x14ac:dyDescent="0.2">
      <c r="A65" s="54"/>
      <c r="B65" s="55"/>
      <c r="E65" s="54"/>
      <c r="K65" s="57"/>
      <c r="L65" s="57"/>
      <c r="M65" s="57"/>
      <c r="N65" s="57"/>
      <c r="O65" s="57"/>
      <c r="P65" s="57"/>
      <c r="Q65" s="57"/>
      <c r="R65" s="57"/>
      <c r="S65" s="57"/>
      <c r="T65" s="57"/>
      <c r="U65" s="57"/>
      <c r="V65" s="57"/>
      <c r="W65" s="57"/>
      <c r="X65" s="57"/>
      <c r="Z65" s="58"/>
    </row>
    <row r="66" spans="1:26" s="56" customFormat="1" ht="12.75" x14ac:dyDescent="0.2">
      <c r="A66" s="54"/>
      <c r="B66" s="55"/>
      <c r="E66" s="54"/>
      <c r="K66" s="57"/>
      <c r="L66" s="57"/>
      <c r="M66" s="57"/>
      <c r="N66" s="57"/>
      <c r="O66" s="57"/>
      <c r="P66" s="57"/>
      <c r="Q66" s="57"/>
      <c r="R66" s="57"/>
      <c r="S66" s="57"/>
      <c r="T66" s="57"/>
      <c r="U66" s="57"/>
      <c r="V66" s="57"/>
      <c r="W66" s="57"/>
      <c r="X66" s="57"/>
      <c r="Z66" s="58"/>
    </row>
    <row r="67" spans="1:26" s="56" customFormat="1" ht="12.75" x14ac:dyDescent="0.2">
      <c r="A67" s="54"/>
      <c r="B67" s="55"/>
      <c r="E67" s="54"/>
      <c r="K67" s="57"/>
      <c r="L67" s="57"/>
      <c r="M67" s="57"/>
      <c r="N67" s="57"/>
      <c r="O67" s="57"/>
      <c r="P67" s="57"/>
      <c r="Q67" s="57"/>
      <c r="R67" s="57"/>
      <c r="S67" s="57"/>
      <c r="T67" s="57"/>
      <c r="U67" s="57"/>
      <c r="V67" s="57"/>
      <c r="W67" s="57"/>
      <c r="X67" s="57"/>
      <c r="Z67" s="58"/>
    </row>
    <row r="68" spans="1:26" s="56" customFormat="1" ht="12.75" x14ac:dyDescent="0.2">
      <c r="A68" s="54"/>
      <c r="B68" s="55"/>
      <c r="E68" s="54"/>
      <c r="K68" s="57"/>
      <c r="L68" s="57"/>
      <c r="M68" s="57"/>
      <c r="N68" s="57"/>
      <c r="O68" s="57"/>
      <c r="P68" s="57"/>
      <c r="Q68" s="57"/>
      <c r="R68" s="57"/>
      <c r="S68" s="57"/>
      <c r="T68" s="57"/>
      <c r="U68" s="57"/>
      <c r="V68" s="57"/>
      <c r="W68" s="57"/>
      <c r="X68" s="57"/>
      <c r="Z68" s="58"/>
    </row>
    <row r="69" spans="1:26" s="56" customFormat="1" ht="12.75" x14ac:dyDescent="0.2">
      <c r="A69" s="54"/>
      <c r="B69" s="55"/>
      <c r="E69" s="54"/>
      <c r="K69" s="57"/>
      <c r="L69" s="57"/>
      <c r="M69" s="57"/>
      <c r="N69" s="57"/>
      <c r="O69" s="57"/>
      <c r="P69" s="57"/>
      <c r="Q69" s="57"/>
      <c r="R69" s="57"/>
      <c r="S69" s="57"/>
      <c r="T69" s="57"/>
      <c r="U69" s="57"/>
      <c r="V69" s="57"/>
      <c r="W69" s="57"/>
      <c r="X69" s="57"/>
      <c r="Z69" s="58"/>
    </row>
    <row r="70" spans="1:26" s="56" customFormat="1" ht="12.75" x14ac:dyDescent="0.2">
      <c r="A70" s="54"/>
      <c r="B70" s="55"/>
      <c r="E70" s="54"/>
      <c r="K70" s="57"/>
      <c r="L70" s="57"/>
      <c r="M70" s="57"/>
      <c r="N70" s="57"/>
      <c r="O70" s="57"/>
      <c r="P70" s="57"/>
      <c r="Q70" s="57"/>
      <c r="R70" s="57"/>
      <c r="S70" s="57"/>
      <c r="T70" s="57"/>
      <c r="U70" s="57"/>
      <c r="V70" s="57"/>
      <c r="W70" s="57"/>
      <c r="X70" s="57"/>
      <c r="Z70" s="58"/>
    </row>
    <row r="71" spans="1:26" s="56" customFormat="1" ht="12.75" x14ac:dyDescent="0.2">
      <c r="A71" s="54"/>
      <c r="B71" s="55"/>
      <c r="E71" s="54"/>
      <c r="K71" s="57"/>
      <c r="L71" s="57"/>
      <c r="M71" s="57"/>
      <c r="N71" s="57"/>
      <c r="O71" s="57"/>
      <c r="P71" s="57"/>
      <c r="Q71" s="57"/>
      <c r="R71" s="57"/>
      <c r="S71" s="57"/>
      <c r="T71" s="57"/>
      <c r="U71" s="57"/>
      <c r="V71" s="57"/>
      <c r="W71" s="57"/>
      <c r="X71" s="57"/>
      <c r="Z71" s="58"/>
    </row>
    <row r="72" spans="1:26" s="56" customFormat="1" ht="12.75" x14ac:dyDescent="0.2">
      <c r="A72" s="54"/>
      <c r="B72" s="55"/>
      <c r="E72" s="54"/>
      <c r="K72" s="57"/>
      <c r="L72" s="57"/>
      <c r="M72" s="57"/>
      <c r="N72" s="57"/>
      <c r="O72" s="57"/>
      <c r="P72" s="57"/>
      <c r="Q72" s="57"/>
      <c r="R72" s="57"/>
      <c r="S72" s="57"/>
      <c r="T72" s="57"/>
      <c r="U72" s="57"/>
      <c r="V72" s="57"/>
      <c r="W72" s="57"/>
      <c r="X72" s="57"/>
      <c r="Z72" s="58"/>
    </row>
    <row r="73" spans="1:26" s="56" customFormat="1" ht="12.75" x14ac:dyDescent="0.2">
      <c r="A73" s="54"/>
      <c r="B73" s="55"/>
      <c r="E73" s="54"/>
      <c r="K73" s="57"/>
      <c r="L73" s="57"/>
      <c r="M73" s="57"/>
      <c r="N73" s="57"/>
      <c r="O73" s="57"/>
      <c r="P73" s="57"/>
      <c r="Q73" s="57"/>
      <c r="R73" s="57"/>
      <c r="S73" s="57"/>
      <c r="T73" s="57"/>
      <c r="U73" s="57"/>
      <c r="V73" s="57"/>
      <c r="W73" s="57"/>
      <c r="X73" s="57"/>
      <c r="Z73" s="58"/>
    </row>
    <row r="74" spans="1:26" s="56" customFormat="1" ht="12.75" x14ac:dyDescent="0.2">
      <c r="A74" s="54"/>
      <c r="B74" s="55"/>
      <c r="E74" s="54"/>
      <c r="K74" s="57"/>
      <c r="L74" s="57"/>
      <c r="M74" s="57"/>
      <c r="N74" s="57"/>
      <c r="O74" s="57"/>
      <c r="P74" s="57"/>
      <c r="Q74" s="57"/>
      <c r="R74" s="57"/>
      <c r="S74" s="57"/>
      <c r="T74" s="57"/>
      <c r="U74" s="57"/>
      <c r="V74" s="57"/>
      <c r="W74" s="57"/>
      <c r="X74" s="57"/>
      <c r="Z74" s="58"/>
    </row>
    <row r="75" spans="1:26" s="56" customFormat="1" ht="12.75" x14ac:dyDescent="0.2">
      <c r="A75" s="54"/>
      <c r="B75" s="55"/>
      <c r="E75" s="54"/>
      <c r="K75" s="57"/>
      <c r="L75" s="57"/>
      <c r="M75" s="57"/>
      <c r="N75" s="57"/>
      <c r="O75" s="57"/>
      <c r="P75" s="57"/>
      <c r="Q75" s="57"/>
      <c r="R75" s="57"/>
      <c r="S75" s="57"/>
      <c r="T75" s="57"/>
      <c r="U75" s="57"/>
      <c r="V75" s="57"/>
      <c r="W75" s="57"/>
      <c r="X75" s="57"/>
      <c r="Z75" s="58"/>
    </row>
    <row r="76" spans="1:26" s="56" customFormat="1" ht="12.75" x14ac:dyDescent="0.2">
      <c r="A76" s="54"/>
      <c r="B76" s="55"/>
      <c r="E76" s="54"/>
      <c r="K76" s="57"/>
      <c r="L76" s="57"/>
      <c r="M76" s="57"/>
      <c r="N76" s="57"/>
      <c r="O76" s="57"/>
      <c r="P76" s="57"/>
      <c r="Q76" s="57"/>
      <c r="R76" s="57"/>
      <c r="S76" s="57"/>
      <c r="T76" s="57"/>
      <c r="U76" s="57"/>
      <c r="V76" s="57"/>
      <c r="W76" s="57"/>
      <c r="X76" s="57"/>
      <c r="Z76" s="58"/>
    </row>
    <row r="77" spans="1:26" s="56" customFormat="1" ht="12.75" x14ac:dyDescent="0.2">
      <c r="A77" s="54"/>
      <c r="B77" s="55"/>
      <c r="E77" s="54"/>
      <c r="K77" s="57"/>
      <c r="L77" s="57"/>
      <c r="M77" s="57"/>
      <c r="N77" s="57"/>
      <c r="O77" s="57"/>
      <c r="P77" s="57"/>
      <c r="Q77" s="57"/>
      <c r="R77" s="57"/>
      <c r="S77" s="57"/>
      <c r="T77" s="57"/>
      <c r="U77" s="57"/>
      <c r="V77" s="57"/>
      <c r="W77" s="57"/>
      <c r="X77" s="57"/>
      <c r="Z77" s="58"/>
    </row>
    <row r="78" spans="1:26" s="56" customFormat="1" ht="12.75" x14ac:dyDescent="0.2">
      <c r="A78" s="54"/>
      <c r="B78" s="55"/>
      <c r="E78" s="54"/>
      <c r="K78" s="57"/>
      <c r="L78" s="57"/>
      <c r="M78" s="57"/>
      <c r="N78" s="57"/>
      <c r="O78" s="57"/>
      <c r="P78" s="57"/>
      <c r="Q78" s="57"/>
      <c r="R78" s="57"/>
      <c r="S78" s="57"/>
      <c r="T78" s="57"/>
      <c r="U78" s="57"/>
      <c r="V78" s="57"/>
      <c r="W78" s="57"/>
      <c r="X78" s="57"/>
      <c r="Z78" s="58"/>
    </row>
  </sheetData>
  <mergeCells count="20">
    <mergeCell ref="A1:Z1"/>
    <mergeCell ref="A2:Z2"/>
    <mergeCell ref="A4:A6"/>
    <mergeCell ref="B4:B6"/>
    <mergeCell ref="C4:C6"/>
    <mergeCell ref="D4:D6"/>
    <mergeCell ref="E4:E6"/>
    <mergeCell ref="F4:H4"/>
    <mergeCell ref="I4:I6"/>
    <mergeCell ref="J4:J6"/>
    <mergeCell ref="K4:M4"/>
    <mergeCell ref="N4:X4"/>
    <mergeCell ref="O5:X5"/>
    <mergeCell ref="Y4:Y6"/>
    <mergeCell ref="Z4:Z6"/>
    <mergeCell ref="F5:F6"/>
    <mergeCell ref="G5:H5"/>
    <mergeCell ref="K5:K6"/>
    <mergeCell ref="L5:M5"/>
    <mergeCell ref="N5: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VĐT</vt:lpstr>
      <vt:lpstr>Nhom DA hoan thanh den 31.12</vt:lpstr>
      <vt:lpstr>Nhom Da Chuyen tiep</vt:lpstr>
      <vt:lpstr>Nhom Da KCm</vt:lpstr>
      <vt:lpstr>'Nhom Da Chuyen tiep'!Print_Area</vt:lpstr>
      <vt:lpstr>VĐT!Print_Area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cp:lastModifiedBy>
  <cp:lastPrinted>2024-02-15T01:41:00Z</cp:lastPrinted>
  <dcterms:created xsi:type="dcterms:W3CDTF">2024-02-07T03:22:52Z</dcterms:created>
  <dcterms:modified xsi:type="dcterms:W3CDTF">2024-05-13T02:49:00Z</dcterms:modified>
</cp:coreProperties>
</file>