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536" windowWidth="19420" windowHeight="11020" tabRatio="728" activeTab="0"/>
  </bookViews>
  <sheets>
    <sheet name="bieu 48 " sheetId="1" r:id="rId1"/>
    <sheet name="bieu 49" sheetId="2" r:id="rId2"/>
    <sheet name="bieu 50" sheetId="3" r:id="rId3"/>
    <sheet name="bieu 51" sheetId="4" r:id="rId4"/>
    <sheet name="bieu 52" sheetId="5" r:id="rId5"/>
    <sheet name="bieu 53" sheetId="6" r:id="rId6"/>
    <sheet name="bieu 54" sheetId="7" r:id="rId7"/>
    <sheet name="bieu 55" sheetId="8" r:id="rId8"/>
    <sheet name="bieu 56" sheetId="9" r:id="rId9"/>
    <sheet name="bieu 57" sheetId="10" r:id="rId10"/>
    <sheet name="bieu 58" sheetId="11" r:id="rId11"/>
    <sheet name="bieu 59" sheetId="12" r:id="rId12"/>
    <sheet name="bieu 60" sheetId="13" r:id="rId13"/>
    <sheet name="bieu 61" sheetId="14" r:id="rId14"/>
    <sheet name="biểu 62" sheetId="15" r:id="rId15"/>
    <sheet name="biểu 63" sheetId="16" r:id="rId16"/>
    <sheet name="biểu 64" sheetId="17" r:id="rId17"/>
  </sheets>
  <externalReferences>
    <externalReference r:id="rId20"/>
    <externalReference r:id="rId21"/>
    <externalReference r:id="rId22"/>
  </externalReferences>
  <definedNames>
    <definedName name="chuong_phuluc_48" localSheetId="0">'bieu 48 '!$D$1</definedName>
    <definedName name="chuong_phuluc_48_name" localSheetId="0">'bieu 48 '!$A$3</definedName>
    <definedName name="chuong_phuluc_49" localSheetId="1">'bieu 49'!$C$1</definedName>
    <definedName name="chuong_phuluc_49_name" localSheetId="1">'bieu 49'!$A$3</definedName>
    <definedName name="chuong_phuluc_50" localSheetId="2">'bieu 50'!$E$1</definedName>
    <definedName name="chuong_phuluc_50_name" localSheetId="2">'bieu 50'!$A$3</definedName>
    <definedName name="chuong_phuluc_51" localSheetId="3">'bieu 51'!$C$1</definedName>
    <definedName name="chuong_phuluc_51_name" localSheetId="3">'bieu 51'!$A$3</definedName>
    <definedName name="chuong_phuluc_52" localSheetId="4">'bieu 52'!$C$1</definedName>
    <definedName name="chuong_phuluc_52_name" localSheetId="4">'bieu 52'!$A$3</definedName>
    <definedName name="chuong_phuluc_53" localSheetId="5">'bieu 53'!$H$1</definedName>
    <definedName name="chuong_phuluc_53_name" localSheetId="5">'bieu 53'!$A$3</definedName>
    <definedName name="chuong_phuluc_54" localSheetId="6">'bieu 54'!$S$1</definedName>
    <definedName name="chuong_phuluc_54_name" localSheetId="6">'bieu 54'!$A$3</definedName>
    <definedName name="chuong_phuluc_55" localSheetId="7">'bieu 55'!$P$1</definedName>
    <definedName name="chuong_phuluc_55_name" localSheetId="7">'bieu 55'!$A$3</definedName>
    <definedName name="chuong_phuluc_56" localSheetId="8">'bieu 56'!$Q$1</definedName>
    <definedName name="chuong_phuluc_56_name" localSheetId="8">'bieu 56'!$A$3</definedName>
    <definedName name="chuong_phuluc_57" localSheetId="9">'bieu 57'!$J$1</definedName>
    <definedName name="chuong_phuluc_57_name" localSheetId="9">'bieu 57'!$A$3</definedName>
    <definedName name="chuong_phuluc_58" localSheetId="10">'bieu 58'!$X$1</definedName>
    <definedName name="chuong_phuluc_58_name" localSheetId="10">'bieu 58'!$A$3</definedName>
    <definedName name="chuong_phuluc_59" localSheetId="11">'bieu 59'!$Z$1</definedName>
    <definedName name="chuong_phuluc_59_name" localSheetId="11">'bieu 59'!$A$3</definedName>
    <definedName name="chuong_phuluc_60" localSheetId="12">'bieu 60'!$H$1</definedName>
    <definedName name="chuong_phuluc_60_name" localSheetId="12">'bieu 60'!$A$3</definedName>
    <definedName name="chuong_phuluc_61" localSheetId="13">'bieu 61'!$V$1</definedName>
    <definedName name="chuong_phuluc_61_name" localSheetId="13">'bieu 61'!$A$3</definedName>
    <definedName name="chuong_phuluc_62" localSheetId="14">'biểu 62'!#REF!</definedName>
    <definedName name="chuong_phuluc_62_name" localSheetId="14">'biểu 62'!$A$3</definedName>
    <definedName name="chuong_phuluc_63" localSheetId="15">'biểu 63'!$L$1</definedName>
    <definedName name="chuong_phuluc_63_name" localSheetId="15">'biểu 63'!$A$3</definedName>
    <definedName name="chuong_phuluc_64" localSheetId="16">'biểu 64'!$E$1</definedName>
    <definedName name="chuong_phuluc_64_name" localSheetId="16">'biểu 64'!$A$3</definedName>
    <definedName name="_xlnm.Print_Area" localSheetId="0">'bieu 48 '!$A:$F</definedName>
    <definedName name="_xlnm.Print_Area" localSheetId="1">'bieu 49'!$A$1:$E$46</definedName>
    <definedName name="_xlnm.Print_Area" localSheetId="2">'bieu 50'!$A$1:$H$76</definedName>
    <definedName name="_xlnm.Print_Area" localSheetId="3">'bieu 51'!$A$1:$E$42</definedName>
    <definedName name="_xlnm.Print_Area" localSheetId="4">'bieu 52'!$A$1:$F$51</definedName>
    <definedName name="_xlnm.Print_Area" localSheetId="5">'bieu 53'!$A$1:$K$43</definedName>
    <definedName name="_xlnm.Print_Area" localSheetId="6">'bieu 54'!$A:$R</definedName>
    <definedName name="_xlnm.Print_Area" localSheetId="8">'bieu 56'!$A$1:$T$125</definedName>
    <definedName name="_xlnm.Print_Area" localSheetId="9">'bieu 57'!$A:$K</definedName>
    <definedName name="_xlnm.Print_Area" localSheetId="10">'bieu 58'!$A:$V</definedName>
    <definedName name="_xlnm.Print_Area" localSheetId="11">'bieu 59'!$A$1:$Z$31</definedName>
    <definedName name="_xlnm.Print_Area" localSheetId="13">'bieu 61'!$A$1:$V$235</definedName>
    <definedName name="_xlnm.Print_Area" localSheetId="14">'biểu 62'!$A:$X</definedName>
    <definedName name="_xlnm.Print_Area" localSheetId="15">'biểu 63'!$A:$L</definedName>
    <definedName name="_xlnm.Print_Area" localSheetId="16">'biểu 64'!$A:$E</definedName>
    <definedName name="_xlnm.Print_Titles" localSheetId="0">'bieu 48 '!$6:$8</definedName>
    <definedName name="_xlnm.Print_Titles" localSheetId="1">'bieu 49'!$6:$7</definedName>
    <definedName name="_xlnm.Print_Titles" localSheetId="2">'bieu 50'!$6:$8</definedName>
    <definedName name="_xlnm.Print_Titles" localSheetId="3">'bieu 51'!$6:$7</definedName>
    <definedName name="_xlnm.Print_Titles" localSheetId="4">'bieu 52'!$6:$7</definedName>
    <definedName name="_xlnm.Print_Titles" localSheetId="5">'bieu 53'!$6:$8</definedName>
    <definedName name="_xlnm.Print_Titles" localSheetId="6">'bieu 54'!$5:$8</definedName>
    <definedName name="_xlnm.Print_Titles" localSheetId="7">'bieu 55'!$5:$7</definedName>
    <definedName name="_xlnm.Print_Titles" localSheetId="8">'bieu 56'!$5:$7</definedName>
    <definedName name="_xlnm.Print_Titles" localSheetId="9">'bieu 57'!$5:$7</definedName>
    <definedName name="_xlnm.Print_Titles" localSheetId="10">'bieu 58'!$5:$9</definedName>
    <definedName name="_xlnm.Print_Titles" localSheetId="13">'bieu 61'!$5:$10</definedName>
    <definedName name="_xlnm.Print_Titles" localSheetId="14">'biểu 62'!$6:$10</definedName>
    <definedName name="_xlnm.Print_Titles" localSheetId="15">'biểu 63'!$6:$8</definedName>
    <definedName name="_xlnm.Print_Titles" localSheetId="16">'biểu 64'!$7:$8</definedName>
  </definedNames>
  <calcPr fullCalcOnLoad="1"/>
</workbook>
</file>

<file path=xl/comments14.xml><?xml version="1.0" encoding="utf-8"?>
<comments xmlns="http://schemas.openxmlformats.org/spreadsheetml/2006/main">
  <authors>
    <author>21AK22</author>
  </authors>
  <commentList>
    <comment ref="E70" authorId="0">
      <text>
        <r>
          <rPr>
            <b/>
            <sz val="9"/>
            <rFont val="Tahoma"/>
            <family val="2"/>
          </rPr>
          <t xml:space="preserve">Nguồn tỉnh bs trong năm 2023: 555trđ
</t>
        </r>
      </text>
    </comment>
  </commentList>
</comments>
</file>

<file path=xl/sharedStrings.xml><?xml version="1.0" encoding="utf-8"?>
<sst xmlns="http://schemas.openxmlformats.org/spreadsheetml/2006/main" count="2197" uniqueCount="904">
  <si>
    <t>Phòng Tài nguyên và Môi trường</t>
  </si>
  <si>
    <t>5=6+7</t>
  </si>
  <si>
    <t>6=9+15</t>
  </si>
  <si>
    <t>7=12+17</t>
  </si>
  <si>
    <t>8=9+12</t>
  </si>
  <si>
    <t>14=15+17</t>
  </si>
  <si>
    <t>17=5/1</t>
  </si>
  <si>
    <t>18=6/2</t>
  </si>
  <si>
    <t>19=7/3</t>
  </si>
  <si>
    <t>Bắc Quỳnh</t>
  </si>
  <si>
    <t>6=7+10+13</t>
  </si>
  <si>
    <t xml:space="preserve"> - Trong đó thu tiền bảo vệ phát triển đất trồng lúa</t>
  </si>
  <si>
    <t>Chi Giáo dục - đào tạo và dạy nghề</t>
  </si>
  <si>
    <t>Chi Y tế, dân số và gia đình</t>
  </si>
  <si>
    <t>Chi Văn hóa thông tin</t>
  </si>
  <si>
    <t>2</t>
  </si>
  <si>
    <t>3</t>
  </si>
  <si>
    <t>4</t>
  </si>
  <si>
    <r>
      <t xml:space="preserve">Ghi chú: </t>
    </r>
    <r>
      <rPr>
        <i/>
        <sz val="10"/>
        <color indexed="8"/>
        <rFont val="Times New Roman"/>
        <family val="1"/>
      </rPr>
      <t>(1) Bổ sung từ ngân sách tỉnh chi tiết đến từng huyện; bổ sung từ ngân sách huyện chi tiết đến từng xã.</t>
    </r>
  </si>
  <si>
    <t>Số bổ sung thực hiện cải cách tiền lương</t>
  </si>
  <si>
    <t>THU TỪ NGÂN SÁCH CẤP DƯỚI NỘP LÊN</t>
  </si>
  <si>
    <t>Biểu mẫu số 48</t>
  </si>
  <si>
    <t>Đơn vị: Triệu đồng</t>
  </si>
  <si>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</si>
  <si>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</si>
  <si>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</si>
  <si>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</si>
  <si>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</si>
  <si>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</si>
  <si>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</si>
  <si>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</si>
  <si>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</si>
  <si>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</si>
  <si>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</si>
  <si>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</si>
  <si>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</si>
  <si>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</si>
  <si>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</si>
  <si>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</si>
  <si>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</si>
  <si>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</si>
  <si>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</si>
  <si>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</si>
  <si>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</si>
  <si>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</si>
  <si>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</si>
  <si>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</si>
  <si>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</si>
  <si>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</si>
  <si>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</si>
  <si>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</si>
  <si>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</si>
  <si>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</si>
  <si>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</si>
  <si>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</si>
  <si>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</si>
  <si>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</si>
  <si>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</si>
  <si>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</si>
  <si>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</si>
  <si>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</si>
  <si>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</si>
  <si>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</si>
  <si>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NSĐP/KẾT DƯ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</si>
  <si>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</si>
  <si>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</si>
  <si>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</si>
  <si>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</si>
  <si>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</si>
  <si>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</si>
  <si>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</si>
  <si>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</si>
  <si>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</si>
  <si>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</si>
  <si>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Biểu mẫu số 49</t>
  </si>
  <si>
    <t>Nội dung</t>
  </si>
  <si>
    <t>So sánh (%)</t>
  </si>
  <si>
    <t>Nguồn thu ngân sách</t>
  </si>
  <si>
    <t>Thu ngân sách được hưởng theo phân cấp</t>
  </si>
  <si>
    <t>Thu bổ sung từ ngân sách cấp trên</t>
  </si>
  <si>
    <t>Bổ sung cân đối ngân sách</t>
  </si>
  <si>
    <t>Bổ sung có mục tiêu</t>
  </si>
  <si>
    <t>Thu từ quỹ dự trữ tài chính (1)</t>
  </si>
  <si>
    <t>Chi ngân sách</t>
  </si>
  <si>
    <t>Chi bổ sung cho ngân sách cấp dưới</t>
  </si>
  <si>
    <t>Chi bổ sung cân đối ngân sách</t>
  </si>
  <si>
    <t>Chi bổ sung có mục tiêu</t>
  </si>
  <si>
    <t>Chi trả nợ gốc từ nguồn bội thu, tăng thu, tiết kiệm, kết dư ngân sách cấp tỉnh (1)</t>
  </si>
  <si>
    <t>Bội chi NSĐP/Kết dư NSĐP (1)</t>
  </si>
  <si>
    <t>Chi bổ sung cho ngân sách cấp dưới (2)</t>
  </si>
  <si>
    <t>Kết dư</t>
  </si>
  <si>
    <t>Biểu mẫu số 50</t>
  </si>
  <si>
    <t>Tổng thu NSNN</t>
  </si>
  <si>
    <t>Thu NSĐP</t>
  </si>
  <si>
    <t>5=3/1</t>
  </si>
  <si>
    <t>6=4/2</t>
  </si>
  <si>
    <t>Thuế thu nhập cá nhân</t>
  </si>
  <si>
    <t>Lệ phí trước bạ</t>
  </si>
  <si>
    <t>Thu khác ngân sách</t>
  </si>
  <si>
    <t>Thu khác</t>
  </si>
  <si>
    <t>Thu viện trợ</t>
  </si>
  <si>
    <t>THU TỪ QUỸ DỰ TRỮ TÀI CHÍNH</t>
  </si>
  <si>
    <t>THU KẾT DƯ NĂM TRƯỚC</t>
  </si>
  <si>
    <t>THU CHUYỂN NGUỒN TỪ NĂM TRƯỚC CHUYỂN SANG</t>
  </si>
  <si>
    <t>Biểu mẫu số 51</t>
  </si>
  <si>
    <t>3=2/1</t>
  </si>
  <si>
    <t>TỔNG CHI NGÂN SÁCH ĐỊA PHƯƠNG</t>
  </si>
  <si>
    <t>CHI CÂN ĐỐI NGÂN SÁCH ĐỊA PHƯƠNG</t>
  </si>
  <si>
    <t xml:space="preserve">Chi đầu tư cho các dự án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</si>
  <si>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</si>
  <si>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</si>
  <si>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</si>
  <si>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</si>
  <si>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</si>
  <si>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</si>
  <si>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</si>
  <si>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</si>
  <si>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</si>
  <si>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t>
  </si>
  <si>
    <t>VI</t>
  </si>
  <si>
    <t>CHI CÁC CHƯƠNG TRÌNH MỤC TIÊU</t>
  </si>
  <si>
    <t xml:space="preserve">Chi các chương trình mục tiêu, nhiệm vụ </t>
  </si>
  <si>
    <t>(Chi tiết theo từng chương trình mục tiêu, nhiệm vụ)</t>
  </si>
  <si>
    <t>CHI CHUYỂN NGUỒN SANG NĂM SAU</t>
  </si>
  <si>
    <t>Biểu mẫu số 52</t>
  </si>
  <si>
    <t>CHI BỔ SUNG CÂN ĐỐI CHO NGÂN SÁCH CẤP DƯỚI (1)</t>
  </si>
  <si>
    <t xml:space="preserve">Chi đầu tư phát triển </t>
  </si>
  <si>
    <t>Chi đầu tư cho các dự án</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</si>
  <si>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</si>
  <si>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</si>
  <si>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</si>
  <si>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</si>
  <si>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</si>
  <si>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</si>
  <si>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</si>
  <si>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</si>
  <si>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</si>
  <si>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</si>
  <si>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</si>
  <si>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khoa học và công nghệ (2)</t>
  </si>
  <si>
    <t>Chi thường xuyên khác</t>
  </si>
  <si>
    <t>Chi trả nợ lãi các khoản do chính quyền địa phương vay (2)</t>
  </si>
  <si>
    <t>Chi bổ sung quỹ dự trữ tài chính (2)</t>
  </si>
  <si>
    <t>Biểu mẫu số 53</t>
  </si>
  <si>
    <t>Bao gồm</t>
  </si>
  <si>
    <t>Ngân sách địa phương</t>
  </si>
  <si>
    <t>1=2+3</t>
  </si>
  <si>
    <t>4=5+6</t>
  </si>
  <si>
    <t>7=4/1</t>
  </si>
  <si>
    <t>8=5/2</t>
  </si>
  <si>
    <t>9=6/3</t>
  </si>
  <si>
    <t>CHI CÂN ĐỐI NSĐP</t>
  </si>
  <si>
    <t>Biểu mẫu số 54</t>
  </si>
  <si>
    <t>Tên đơn vị</t>
  </si>
  <si>
    <t>Tổng số</t>
  </si>
  <si>
    <t>…</t>
  </si>
  <si>
    <t>Chi chương trình MTQG</t>
  </si>
  <si>
    <t>Chi chuyển nguồn sang ngân sách năm sau</t>
  </si>
  <si>
    <t>TỔNG SỐ</t>
  </si>
  <si>
    <t>VII</t>
  </si>
  <si>
    <t>(2) Theo quy định tại Điều 7, Điều 11 Luật NSNN, ngân sách huyện, xã không có nhiệm vụ chi trả lãi vay, chi bổ sung quỹ dự trữ tài chính.</t>
  </si>
  <si>
    <t>(3) Ngân sách xã không có nhiệm vụ chi bổ sung có mục tiêu cho ngân sách cấp dưới.</t>
  </si>
  <si>
    <t>Biểu mẫu số 55</t>
  </si>
  <si>
    <t>Trong đó</t>
  </si>
  <si>
    <t>Chi giao thông</t>
  </si>
  <si>
    <t>Chi nông nghiệp, lâm nghiệp, thủy lợi, thủy sản</t>
  </si>
  <si>
    <t>18=2/1</t>
  </si>
  <si>
    <t>Biểu mẫu số 56</t>
  </si>
  <si>
    <t>18= 2/1</t>
  </si>
  <si>
    <t>Biểu mẫu số 57</t>
  </si>
  <si>
    <t>Dự toán được cấp</t>
  </si>
  <si>
    <t>Kinh phí thực hiện trong năm</t>
  </si>
  <si>
    <t>Nguồn còn lại</t>
  </si>
  <si>
    <t>Dự toán đầu năm</t>
  </si>
  <si>
    <t>Chuyển nguồn năm sau</t>
  </si>
  <si>
    <t>Hủy bỏ</t>
  </si>
  <si>
    <t>1=2+3-4</t>
  </si>
  <si>
    <t>6=1-5</t>
  </si>
  <si>
    <t>Biểu mẫu số 58</t>
  </si>
  <si>
    <t>Tên đơn vị (1)</t>
  </si>
  <si>
    <t>Dự toán (2)</t>
  </si>
  <si>
    <t>Chi CTMTQG</t>
  </si>
  <si>
    <t>Chi giáo dục đào tạo dạy nghề</t>
  </si>
  <si>
    <t>Chi khoa học và công nghệ (3)</t>
  </si>
  <si>
    <t>Biểu mẫu số 59</t>
  </si>
  <si>
    <t>So sách (%)</t>
  </si>
  <si>
    <t>Gồm</t>
  </si>
  <si>
    <t>Vốn đầu tư để thực hiện các CTMT, nhiệm vụ</t>
  </si>
  <si>
    <t>Vốn sự nghiệp thực hiện các chế độ, chính sách</t>
  </si>
  <si>
    <t>Vốn thực hiện các CTMT quốc gia</t>
  </si>
  <si>
    <t>Vốn ngoài nước</t>
  </si>
  <si>
    <t>Vốn trong nước</t>
  </si>
  <si>
    <t>11=12+13</t>
  </si>
  <si>
    <t>17=9/1</t>
  </si>
  <si>
    <t>18=10/2</t>
  </si>
  <si>
    <t>19=11/3</t>
  </si>
  <si>
    <t>20=12/4</t>
  </si>
  <si>
    <t>21=13/5</t>
  </si>
  <si>
    <t>22=14/6</t>
  </si>
  <si>
    <t>23=15/7</t>
  </si>
  <si>
    <t>24=16/8</t>
  </si>
  <si>
    <t>Biểu mẫu số 60</t>
  </si>
  <si>
    <t>Tổng thu NSĐP</t>
  </si>
  <si>
    <t>Thu NSĐP hưởng theo phân cấp</t>
  </si>
  <si>
    <t>Số bổ sung cân đối từ ngân sách cấp trên</t>
  </si>
  <si>
    <t>Thu từ kết dư năm trước</t>
  </si>
  <si>
    <t>Biểu mẫu số 61</t>
  </si>
  <si>
    <t>Đầu tư phát triển</t>
  </si>
  <si>
    <t>Kinh phí sự nghiệp</t>
  </si>
  <si>
    <t>Chia ra</t>
  </si>
  <si>
    <t>Biểu mẫu số 62</t>
  </si>
  <si>
    <t>Danh mục dự án</t>
  </si>
  <si>
    <t>Địa điểm xây dựng</t>
  </si>
  <si>
    <t>Năng lực thiết kế</t>
  </si>
  <si>
    <t>Thời gian khởi công - hoàn thành</t>
  </si>
  <si>
    <t>Quyết định đầu tư</t>
  </si>
  <si>
    <t>DỰ TOÁN</t>
  </si>
  <si>
    <t>QUYẾT TOÁN</t>
  </si>
  <si>
    <t>Số Quyết định, ngày, tháng, năm ban hành</t>
  </si>
  <si>
    <t>Tổng mức đầu tư được duyệt</t>
  </si>
  <si>
    <t>Tổng số (tất cả các nguồn vốn)</t>
  </si>
  <si>
    <t>Chia theo nguồn vốn</t>
  </si>
  <si>
    <t>Ngân sách trung ương</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</si>
  <si>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</si>
  <si>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</si>
  <si>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</si>
  <si>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</si>
  <si>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</si>
  <si>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</si>
  <si>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</si>
  <si>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</si>
  <si>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</si>
  <si>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</si>
  <si>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</si>
  <si>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</si>
  <si>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Xã Hưng Vũ</t>
  </si>
  <si>
    <t>Xã Trấn Yên</t>
  </si>
  <si>
    <t>Xã Vũ Lăng</t>
  </si>
  <si>
    <t>Xã Chiêu Vũ</t>
  </si>
  <si>
    <t>Xã Tân Hương</t>
  </si>
  <si>
    <t>Xã Đồng Ý</t>
  </si>
  <si>
    <t>Xã Vũ Sơn</t>
  </si>
  <si>
    <t>Xã Vạn Thủy</t>
  </si>
  <si>
    <t>Xã Tân Tri</t>
  </si>
  <si>
    <t>Xã Chiến Thắng</t>
  </si>
  <si>
    <t>Xã Vũ Lễ</t>
  </si>
  <si>
    <t>Xã Tân Thành</t>
  </si>
  <si>
    <t>Xã Nhất Hòa</t>
  </si>
  <si>
    <t>Xã Nhất Tiến</t>
  </si>
  <si>
    <t>Xã Long Đống</t>
  </si>
  <si>
    <t>1.1</t>
  </si>
  <si>
    <t>1.2</t>
  </si>
  <si>
    <t>2.1</t>
  </si>
  <si>
    <t>2.2</t>
  </si>
  <si>
    <t>2.3</t>
  </si>
  <si>
    <t>2.4</t>
  </si>
  <si>
    <t>2.5</t>
  </si>
  <si>
    <t>2.6</t>
  </si>
  <si>
    <t>3.1</t>
  </si>
  <si>
    <t>3.2</t>
  </si>
  <si>
    <t>3.3</t>
  </si>
  <si>
    <t>3.4</t>
  </si>
  <si>
    <t>3.5</t>
  </si>
  <si>
    <t>3.6</t>
  </si>
  <si>
    <t>1.1.1</t>
  </si>
  <si>
    <t>1.2.1</t>
  </si>
  <si>
    <t>NGÂN SÁCH XÃ</t>
  </si>
  <si>
    <t>CTMT khác</t>
  </si>
  <si>
    <t>CTMTQG xây dựng NTM</t>
  </si>
  <si>
    <t>Chi dự phòng</t>
  </si>
  <si>
    <t>Thị trấn</t>
  </si>
  <si>
    <t>Long Đống</t>
  </si>
  <si>
    <t>Hưng Vũ</t>
  </si>
  <si>
    <t>Trấn Yên</t>
  </si>
  <si>
    <t>Vũ Lăng</t>
  </si>
  <si>
    <t>Chiêu Vũ</t>
  </si>
  <si>
    <t>Tân Lập</t>
  </si>
  <si>
    <t>Tân Hương</t>
  </si>
  <si>
    <t>Đồng Ý</t>
  </si>
  <si>
    <t>Vũ Sơn</t>
  </si>
  <si>
    <t>Vạn Thủy</t>
  </si>
  <si>
    <t>Tân Tri</t>
  </si>
  <si>
    <t>Chiến Thắng</t>
  </si>
  <si>
    <t>Vũ Lễ</t>
  </si>
  <si>
    <t>Tân Thành</t>
  </si>
  <si>
    <t>Nhất Hòa</t>
  </si>
  <si>
    <t>Nhất Tiến</t>
  </si>
  <si>
    <t>Dự toán năm trước chuyển sang</t>
  </si>
  <si>
    <t>Tổng chi thường xuyên</t>
  </si>
  <si>
    <t>3=4+5</t>
  </si>
  <si>
    <t>Thu bổ sung có  mục tiêu</t>
  </si>
  <si>
    <t>Xã Tân Lập</t>
  </si>
  <si>
    <t>NSĐP và nguồn khác</t>
  </si>
  <si>
    <t>Trường THCS xã Tân Lập</t>
  </si>
  <si>
    <t>Huyện ủy</t>
  </si>
  <si>
    <t>Văn phòng HĐND&amp;UBND</t>
  </si>
  <si>
    <t>Phòng Nội vụ</t>
  </si>
  <si>
    <t>Phòng Kinh tế và Hạ tầng</t>
  </si>
  <si>
    <t>Thanh tra huyện</t>
  </si>
  <si>
    <t>Phòng Tư pháp</t>
  </si>
  <si>
    <t>Quỹ vì người nghèo</t>
  </si>
  <si>
    <t>Quỹ đền ơn đáp nghĩa</t>
  </si>
  <si>
    <t>Quỹ bảo trợ trẻ em</t>
  </si>
  <si>
    <t>Quỹ khuyến học</t>
  </si>
  <si>
    <t>Tổng cộng</t>
  </si>
  <si>
    <t>Khối mầm non</t>
  </si>
  <si>
    <t>Trường MN thị trấn Bắc Sơn</t>
  </si>
  <si>
    <t>Trường MN xã Long Đống</t>
  </si>
  <si>
    <t>Trường MN xã Vũ Lễ</t>
  </si>
  <si>
    <t>Trường MN xã Vũ Lăng</t>
  </si>
  <si>
    <t>Trường MN xã Tân Tri</t>
  </si>
  <si>
    <t>Trường MN xã Nhất Hoà</t>
  </si>
  <si>
    <t>Trường MN xã Nhất Tiến</t>
  </si>
  <si>
    <t>Trường MN xã Trấn Yên</t>
  </si>
  <si>
    <t>Trường MN xã Tân Thành</t>
  </si>
  <si>
    <t>Trường MN xã Đồng ý</t>
  </si>
  <si>
    <t>Trường MN xã Hưng Vũ</t>
  </si>
  <si>
    <t>Trường MN xã Tân Lập</t>
  </si>
  <si>
    <t>Trường MN xã Tân Hương</t>
  </si>
  <si>
    <t>Trường MN xã Chiêu Vũ</t>
  </si>
  <si>
    <t>Trường MN xã Vạn Thủy</t>
  </si>
  <si>
    <t>Trường THCS Trị Trấn</t>
  </si>
  <si>
    <t>Trường THCS xã Long Đống</t>
  </si>
  <si>
    <t>Trường THCS xã Hưng Vũ</t>
  </si>
  <si>
    <t>Trường THCS xã Trấn Yên</t>
  </si>
  <si>
    <t>Trường THCS xã Nhất Hoà</t>
  </si>
  <si>
    <t>Trường THCS xã Vũ Lễ</t>
  </si>
  <si>
    <t>Trường THCS xã Vũ Lăng</t>
  </si>
  <si>
    <t>Trường PTDT BT THCS xã Nhất Tiến</t>
  </si>
  <si>
    <t>Trường THCS xã Tân Thành</t>
  </si>
  <si>
    <t>Trường THCS xã Vũ Sơn</t>
  </si>
  <si>
    <t>Trường THCS xã Tân Tri</t>
  </si>
  <si>
    <t>Trường THCS xã Đồng ý</t>
  </si>
  <si>
    <t>Trường TH và THCS xã Chiêu Vũ</t>
  </si>
  <si>
    <t xml:space="preserve">Tổng cộng </t>
  </si>
  <si>
    <t>Thu ngân sách cấp dưới nộp lên</t>
  </si>
  <si>
    <t>Chi từ nguồn thu để lại đơn vị QL qua ngân sách</t>
  </si>
  <si>
    <t>Chi nộp ngân sách cấp trên</t>
  </si>
  <si>
    <t>Chi từ nguồn tăng thu</t>
  </si>
  <si>
    <t xml:space="preserve"> - Chương trình MTQG giảm nghèo bền vững</t>
  </si>
  <si>
    <t xml:space="preserve"> - Chương trình MTQG nông thôn mới</t>
  </si>
  <si>
    <t>CHI TỪ NGUỒN THU ĐỂ LẠI ĐƠN VỊ CHI QL QUA NSNN (1)</t>
  </si>
  <si>
    <t>CHI NỘP NGÂN SÁCH CẤP TRÊN</t>
  </si>
  <si>
    <t xml:space="preserve"> THU CÂN ĐỐI NGÂN SÁCH NHÀ NƯỚC</t>
  </si>
  <si>
    <t xml:space="preserve">Thu nội địa </t>
  </si>
  <si>
    <t>Thu từ kinh tế quốc doanh</t>
  </si>
  <si>
    <t>Thu từ DNNN trung ương</t>
  </si>
  <si>
    <t>Thuế giá trị gia tăng hàng sản xuất - kinh doanh trong nước</t>
  </si>
  <si>
    <t>1.1.2</t>
  </si>
  <si>
    <t xml:space="preserve">Thuế thu nhập doanh nghiệp </t>
  </si>
  <si>
    <t>1.1.3</t>
  </si>
  <si>
    <t>Thuế tiêu thụ đặc biệt hàng sản xuất trong nước</t>
  </si>
  <si>
    <t>1.1.4</t>
  </si>
  <si>
    <t>Thuế tài nguyên</t>
  </si>
  <si>
    <t>1.1.5</t>
  </si>
  <si>
    <t>Thuế môn bài</t>
  </si>
  <si>
    <t>1.1.6</t>
  </si>
  <si>
    <t>Thu từ DNNN địa phương</t>
  </si>
  <si>
    <t>1.2.2</t>
  </si>
  <si>
    <t>1.2.3</t>
  </si>
  <si>
    <t>1.2.4</t>
  </si>
  <si>
    <t>1.2.5</t>
  </si>
  <si>
    <t>1.2.6</t>
  </si>
  <si>
    <t>Thu từ khu vực công TN - NQD</t>
  </si>
  <si>
    <t>Thuế giá trị gia tăng hàng sản xuất
 - kinh doanh trong nước</t>
  </si>
  <si>
    <t>Thuế thu nhập doanh nghiệp</t>
  </si>
  <si>
    <t>Thuế tiêu thụ đặc biệt - hàng SX trong nước</t>
  </si>
  <si>
    <t>Thuế SD đất nông nghiệp</t>
  </si>
  <si>
    <t xml:space="preserve">Thu tiền sử dụng đất </t>
  </si>
  <si>
    <t>Thuế SDĐ phi nông nghiệp</t>
  </si>
  <si>
    <t>Thu tiền thuê đất</t>
  </si>
  <si>
    <t>Thuê tiền bán nhà thuộc SHNN</t>
  </si>
  <si>
    <t>Phí xăng dầu/ Thuế BV môi trường</t>
  </si>
  <si>
    <t>Thu phí xăng dầu</t>
  </si>
  <si>
    <t>Thu phí, lệ phí</t>
  </si>
  <si>
    <t>8.1</t>
  </si>
  <si>
    <t>Thu phí, lệ phí Trung ương</t>
  </si>
  <si>
    <t>8.2</t>
  </si>
  <si>
    <t>Thu phí, lệ phí tỉnh, huyện</t>
  </si>
  <si>
    <t>8.3</t>
  </si>
  <si>
    <t>Thu phí, lệ phí xã</t>
  </si>
  <si>
    <t>Thu tại xã</t>
  </si>
  <si>
    <t>13.1</t>
  </si>
  <si>
    <t>Thu từ quỹ đất công ích và đất công (xã)</t>
  </si>
  <si>
    <t>13.2</t>
  </si>
  <si>
    <t>Thu tiền cho thuê quầy bán hàng</t>
  </si>
  <si>
    <t>13.3</t>
  </si>
  <si>
    <t>Thu tiền thuê mặt đất, mặt nước</t>
  </si>
  <si>
    <t>13.4</t>
  </si>
  <si>
    <t>13.5</t>
  </si>
  <si>
    <t>Thu phạt, tịch thu (xã)</t>
  </si>
  <si>
    <t>13.6</t>
  </si>
  <si>
    <t>14.1</t>
  </si>
  <si>
    <t>14.2</t>
  </si>
  <si>
    <t>Tr.đó: Tịch thu chống lậu</t>
  </si>
  <si>
    <t>14.3</t>
  </si>
  <si>
    <t>Thu tiền bán hàng hoá vật tư dự trữ</t>
  </si>
  <si>
    <t>14.4</t>
  </si>
  <si>
    <t>Thu bán tài sản</t>
  </si>
  <si>
    <t>14.5</t>
  </si>
  <si>
    <t>Thu hồi các khoản chi năm trước</t>
  </si>
  <si>
    <t>14.6</t>
  </si>
  <si>
    <t>14.7</t>
  </si>
  <si>
    <t>Thu cấp quyền khai thác khoáng sản</t>
  </si>
  <si>
    <t>Thu Xổ số kiến thiết</t>
  </si>
  <si>
    <t>Thu viện trợ (không kể viện trợ về cho vay lại)</t>
  </si>
  <si>
    <t xml:space="preserve">Các khoản huy động đóng góp </t>
  </si>
  <si>
    <t>NGÂN SÁCH CẤP HUYỆN</t>
  </si>
  <si>
    <t>gồm NS huyện + xã</t>
  </si>
  <si>
    <t>CHI NGÂN SÁCH CẤP HUYỆN, XÃ THEO LĨNH VỰC</t>
  </si>
  <si>
    <t>Chi thuộc nhiệm vụ của ngân sách cấp xã</t>
  </si>
  <si>
    <t>Chi thuộc nhiệm vụ của ngân sách cấp huyện</t>
  </si>
  <si>
    <t xml:space="preserve"> -</t>
  </si>
  <si>
    <t>Chi các chương trình mục tiêu, nhiệm vụ khác</t>
  </si>
  <si>
    <t>Chi hỗ trợ xây dựng phòng học mầm non</t>
  </si>
  <si>
    <t>CTMTQG giảm nghèo bền vững</t>
  </si>
  <si>
    <t>Chi y tế, dân số  và GĐ</t>
  </si>
  <si>
    <t>Chi đầu tư XDCB vốn Nghị quyết 03 của HĐND tỉnh</t>
  </si>
  <si>
    <t>Chi đầu tư từ vốn đầu tư 6 tháng cuối năm QĐ 1390/QĐ-UBND tỉnh</t>
  </si>
  <si>
    <t>Ngân sách cấp huyện</t>
  </si>
  <si>
    <t>Ngân sách xã</t>
  </si>
  <si>
    <t>Quỹ hỗ trợ nạn nhân chất độc da cam</t>
  </si>
  <si>
    <t>Quỹ Hội nông dân</t>
  </si>
  <si>
    <t>Quỹ người cao tuổi</t>
  </si>
  <si>
    <t>Quỹ nhân đạo</t>
  </si>
  <si>
    <t>Quỹ phòng chống lụt bão</t>
  </si>
  <si>
    <t>Quỹ xây dựng nông thôn mới</t>
  </si>
  <si>
    <t>Quỹ mái ấm tình thương</t>
  </si>
  <si>
    <t>Công an huyện</t>
  </si>
  <si>
    <t>Các đơn vị hỗ trợ ngoài NS</t>
  </si>
  <si>
    <t>Nguồn chưa phân bổ</t>
  </si>
  <si>
    <t>Nguồn tăng thu</t>
  </si>
  <si>
    <t>Chi chuyển nguồn</t>
  </si>
  <si>
    <t>Sự nghiệp giáo dục - đào tạo và dạy nghề</t>
  </si>
  <si>
    <t>Sự nghiệp giáo dục</t>
  </si>
  <si>
    <t>Sự nghiệp đào tạo và dạy nghề</t>
  </si>
  <si>
    <t>Học phí - Học sinh</t>
  </si>
  <si>
    <t>Học phí - các lớp đào tạo</t>
  </si>
  <si>
    <t>Sự nghiệp y tế trong đó:</t>
  </si>
  <si>
    <t>Sự nghiệp thể dục thể thao</t>
  </si>
  <si>
    <t>Qũy TNXP</t>
  </si>
  <si>
    <t>Thu khác còn lại</t>
  </si>
  <si>
    <t>Dự toán (1)</t>
  </si>
  <si>
    <r>
      <t xml:space="preserve">Chi đầu tư phát triển </t>
    </r>
    <r>
      <rPr>
        <sz val="14"/>
        <rFont val="Times New Roman"/>
        <family val="1"/>
      </rPr>
      <t>(Không kể chương trình MTQG)</t>
    </r>
  </si>
  <si>
    <r>
      <t xml:space="preserve">Chi thường xuyên </t>
    </r>
    <r>
      <rPr>
        <sz val="14"/>
        <rFont val="Times New Roman"/>
        <family val="1"/>
      </rPr>
      <t>(Không kể chương trình MTQG)</t>
    </r>
  </si>
  <si>
    <t>Ngân sách huyện</t>
  </si>
  <si>
    <t xml:space="preserve">Ủy ban Mặt trận Tổ quốc </t>
  </si>
  <si>
    <t>Huyện Đoàn TNCS HCM</t>
  </si>
  <si>
    <t>Hội Liên hiệp Phụ nữ huyện</t>
  </si>
  <si>
    <t>Hội Nông dân huyện</t>
  </si>
  <si>
    <t>Hội Cựu chiến binh huyện</t>
  </si>
  <si>
    <t>Phòng NN&amp;PTNT</t>
  </si>
  <si>
    <t>Phòng Văn hóa và Thông tin</t>
  </si>
  <si>
    <t>Trung tâm Y tế</t>
  </si>
  <si>
    <t>Trung tâm Phát triển quỹ đất</t>
  </si>
  <si>
    <t>Trung tâm GDNN-GDTX</t>
  </si>
  <si>
    <t>Hội Đông y</t>
  </si>
  <si>
    <t>Hội Chữ thập đỏ</t>
  </si>
  <si>
    <t>Hội Người cao tuổi</t>
  </si>
  <si>
    <t>Hội Nạn nhân chất độc da cam/dioxin</t>
  </si>
  <si>
    <t>Hội Cựu thanh niên xung phong</t>
  </si>
  <si>
    <t>Hội Khuyến học</t>
  </si>
  <si>
    <t>Ban quản lý dự án  ĐTXD</t>
  </si>
  <si>
    <t>BCH Quân sự</t>
  </si>
  <si>
    <t>Nguồn dự phòng</t>
  </si>
  <si>
    <r>
      <t xml:space="preserve">Ghi chú: </t>
    </r>
    <r>
      <rPr>
        <i/>
        <sz val="14"/>
        <rFont val="Times New Roman"/>
        <family val="1"/>
      </rPr>
      <t>(1) Dự toán chi ngân sách địa phương chi tiết theo các chỉ tiêu tương ứng phần quyết toán chi ngân sách địa phương.</t>
    </r>
  </si>
  <si>
    <t>Trung tâm VH,TT và TT</t>
  </si>
  <si>
    <t>TT Dịch vụ Nông nghiệp</t>
  </si>
  <si>
    <t>17= 6/1</t>
  </si>
  <si>
    <t>18= 7/2</t>
  </si>
  <si>
    <t>19=10/3</t>
  </si>
  <si>
    <t>3.7</t>
  </si>
  <si>
    <t>4.1</t>
  </si>
  <si>
    <t>TỔNG THU NGÂN SÁCH NHÀ NƯỚC (A+B+C+D+E)</t>
  </si>
  <si>
    <t>Tr.đó: Phí bảo vệ môi trường đối với
 khai thác khoáng sản</t>
  </si>
  <si>
    <t xml:space="preserve">Thu tiền phạt </t>
  </si>
  <si>
    <t xml:space="preserve"> Trong đó:  - Thu phạt an toàn giao thông</t>
  </si>
  <si>
    <t xml:space="preserve"> - Phạt VPHC do ngành thuế thực hiện</t>
  </si>
  <si>
    <t xml:space="preserve">Thu tịch thu </t>
  </si>
  <si>
    <t>Thu tiền cho thuê bán TS khác</t>
  </si>
  <si>
    <t xml:space="preserve">Thu khác còn lại </t>
  </si>
  <si>
    <t xml:space="preserve">Dự toán </t>
  </si>
  <si>
    <t xml:space="preserve">Trường MN xã Chiến Thắng  </t>
  </si>
  <si>
    <t xml:space="preserve">Trường MN xã Vũ Sơn </t>
  </si>
  <si>
    <t>Khối trung học cơ sở</t>
  </si>
  <si>
    <t>Trường TH và THCS xã Tân Hương</t>
  </si>
  <si>
    <t>Trường PTDT BT TH và THCS xã Vạn Thuỷ</t>
  </si>
  <si>
    <t>4.2</t>
  </si>
  <si>
    <t>20=17/14</t>
  </si>
  <si>
    <t>21=18/15</t>
  </si>
  <si>
    <t>22=19/16</t>
  </si>
  <si>
    <t>1</t>
  </si>
  <si>
    <t>2019-2020</t>
  </si>
  <si>
    <t>c</t>
  </si>
  <si>
    <t>Phòng LĐ,TBXH - Dân tộc</t>
  </si>
  <si>
    <t>Cấp huyện</t>
  </si>
  <si>
    <t>Cấp xã</t>
  </si>
  <si>
    <t>Trường MN xã Bắc Quỳnh</t>
  </si>
  <si>
    <t>Trường TH và THCS xã Chiến Thắng</t>
  </si>
  <si>
    <t xml:space="preserve">Trường THCS xã Bắc Quỳnh </t>
  </si>
  <si>
    <t>Phòng Giáo dục và Đào tạo huyện (Sự nghiệp giáo dục, nguồn thu học phí)</t>
  </si>
  <si>
    <t>Đội quản lý trật tự đô thị</t>
  </si>
  <si>
    <t>DỰ ÁN DO ĐỊA PHƯƠNG QUẢN LÝ</t>
  </si>
  <si>
    <t>Vốn đầu tư trong cân đối NSĐP (bao gồm cả vốn đầu tư từ nguồn thu tiền sử dụng đất, xổ số kiến thiết)</t>
  </si>
  <si>
    <t>A1</t>
  </si>
  <si>
    <t>Cấp tỉnh quản lý</t>
  </si>
  <si>
    <t>Giao đầu năm QĐ 2599/QĐUB Tỉnh 15/12/2020 - Ngân sách tỉnh thanh toán tại huyện</t>
  </si>
  <si>
    <t>Nguồn Cân đối NSĐP</t>
  </si>
  <si>
    <t>Dự án hoàn thành trước 31/12/2020</t>
  </si>
  <si>
    <t>Cấp nước sinh hoạt xã Vũ Lễ</t>
  </si>
  <si>
    <t>cấp nước cho các hộ dân</t>
  </si>
  <si>
    <t>2016*2018</t>
  </si>
  <si>
    <t>2009a ngày 31/10/2016</t>
  </si>
  <si>
    <t>Nguồn thu sử dụng đất</t>
  </si>
  <si>
    <t xml:space="preserve">Cấp điện thôn Khuôn Bồng, xã Vũ Lễ </t>
  </si>
  <si>
    <t>Đz 35kv, đz 0,4kv</t>
  </si>
  <si>
    <t>3265 ngày 04/9/2019</t>
  </si>
  <si>
    <t xml:space="preserve">Cấp điện thôn Kha Hạ, xã Vũ Lễ </t>
  </si>
  <si>
    <t>3264 ngày 04/9/2019</t>
  </si>
  <si>
    <t>Ngoài KH ĐTC trung hạn 2016-2020</t>
  </si>
  <si>
    <t>Định canh, định cư tập trung Điểm Sự Định - Suối Nọi xã Vũ Lễ</t>
  </si>
  <si>
    <t>các HM</t>
  </si>
  <si>
    <t>2012-2014</t>
  </si>
  <si>
    <t>1073 ngày 07/8/2012</t>
  </si>
  <si>
    <t>Cải tạo, nâng cấp trường PTDT NT THCS huyện Bắc Sơn</t>
  </si>
  <si>
    <t>TT Bắc Sơn</t>
  </si>
  <si>
    <t>CT</t>
  </si>
  <si>
    <t>2010-2011</t>
  </si>
  <si>
    <t>1078 ngày 29/10/2010</t>
  </si>
  <si>
    <t>A2</t>
  </si>
  <si>
    <t>Cấp huyện quản lý</t>
  </si>
  <si>
    <t>Quỹ quốc gia giải quyết việc làm</t>
  </si>
  <si>
    <t>Phòng Giáo dục và Đào tạo</t>
  </si>
  <si>
    <t>Nguồn CCTL theo quy định</t>
  </si>
  <si>
    <t>Chi từ nguồn viện trợ</t>
  </si>
  <si>
    <t>Chương trình mực tiêu quốc gia giảm nghèo bền vững giai đoạn 2021-2025</t>
  </si>
  <si>
    <t>Phòng Lao động, TB,XH-DT</t>
  </si>
  <si>
    <t>Chương trình mục tiêu Quốc gia xây dựng nông thôn mới giai đoạn 2021-2025</t>
  </si>
  <si>
    <t>Nâng cao hiệu quả quản lý và thực hiện xây dựng nông thôn mới theo quy hoạch nhằm nâng cao đời sống kinh tế - xã hội nông thôn gắn với quá trình đô thị hóa (Mã CTMT 00491)</t>
  </si>
  <si>
    <t>Phát triển hạ tầng kinh tế - xã hội, cơ bản đồng bộ, hiện đại, đảm bảo kết nối nông thôn - đô thị và kết nối các vùng miền (Mã CTMT 00492)</t>
  </si>
  <si>
    <t>Phòng Nông nghiệp và phát triển nông thôn</t>
  </si>
  <si>
    <t>Tăng cường công tác giám sát, đánh giá thực hiện Chương trình nâng cao năng lực xây dựng nông thôn mới truyền thông về xây dựng nông thôn mới thực hiện Phong trào thi đua cả nước chung sức xây dựng nông thôn (Mã CTMT 00502)</t>
  </si>
  <si>
    <t>Phòng Nông nghiệp và Phát triển nông thôn</t>
  </si>
  <si>
    <t>Ban quản lý dự án đầu tư xây dựng</t>
  </si>
  <si>
    <t>Trung tâm Văn hóa Thể thao và Truyền thông</t>
  </si>
  <si>
    <t>Trung tâm Y tế huyện</t>
  </si>
  <si>
    <t>Nâng cao hiệu quả quản lý và thực hiện xây dựng nông thôn mới theo quy hoạch nhằm nâng cao đời sống kinh tế - xã hội nông thôn gắn với quá trình đô thị hóa (Mã CTMT 0491)</t>
  </si>
  <si>
    <t>UBND xã Chiêu Vũ</t>
  </si>
  <si>
    <t>UBND xã Vũ Lăng</t>
  </si>
  <si>
    <t>UBND xã Chiến Thắng</t>
  </si>
  <si>
    <t>UBND xã Bắc Quỳnh</t>
  </si>
  <si>
    <t>UBND xã Vũ Lễ</t>
  </si>
  <si>
    <t>UBND xã Vũ Sơn</t>
  </si>
  <si>
    <t>UBND xã Long Đống</t>
  </si>
  <si>
    <t>UBND xã Tân Hương</t>
  </si>
  <si>
    <t>UBND xã Tân Thành</t>
  </si>
  <si>
    <t>UBND xã Nhất Hòa</t>
  </si>
  <si>
    <t>UBND xã Trấn Yên</t>
  </si>
  <si>
    <t>UBND xã Tân Tri</t>
  </si>
  <si>
    <t>UBND xã Vạn Thủy</t>
  </si>
  <si>
    <t>Dự án 6: Truyền thông và giảm nghèo về thông tin (Mã CTMT 00476)</t>
  </si>
  <si>
    <t>*</t>
  </si>
  <si>
    <t>Dự án 7: Nâng cao năng lực và giám sát, đánh giá Chương trình (Mã CTMT 00477)</t>
  </si>
  <si>
    <t>Hội Liên hiệp phụ nữ</t>
  </si>
  <si>
    <t>Hội Nông dân</t>
  </si>
  <si>
    <t>Huyện đoàn</t>
  </si>
  <si>
    <t>Tiểu dự án 1: Hỗ trợ PTSX trong lĩnh vực nông nghiệp</t>
  </si>
  <si>
    <t>Phát triển sản xuất</t>
  </si>
  <si>
    <t>Dự án 1: Giải quyết tình trạng thiếu đất ở, nhà ở, đất sản xuất, nước sinh hoạt</t>
  </si>
  <si>
    <t>Tiểu dự án 1: Phát triển kinh tế nông, lâm nghiệp bền vững gắn với bảo vệ rừng và nâng cao thu nhập cho người dân</t>
  </si>
  <si>
    <t>Dự án 3: Phát triển sản xuất nông, lâm nghiệp bền vững, phát huy tiềm năng, thế mạnh của các vùng miền để sản xuất hàng hóa theo chuỗi giá trị (Mã CTMT 00513)</t>
  </si>
  <si>
    <t>Tiểu dự án 2: Hỗ trợ phát triển sản xuất theo chuỗi giá trị, vùng trồng dược liệu quý, thúc đẩy khởi sự kinh doanh, khởi nghiệp và thu hút đầu tư vùng đồng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</si>
  <si>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 (Mã CTMT 00514)</t>
  </si>
  <si>
    <t>Dự án 5: Phát triển giáo dục đào tạo nâng cao chất lượng nguồn nhân lực (Mã CTMT 00515)</t>
  </si>
  <si>
    <t>Dự án 6: Bảo tồn, phát huy giá trị văn hóa truyền thống tốt đẹp của các dân tộc thiểu số gắn với phát triển du lịch (Mã CTMT 00516)</t>
  </si>
  <si>
    <t>Dự án 7: Chăm sóc sức khỏe Nhân dân, nâng cao thể trạng, tầm vóc người dân tộc thiểu số phòng chống suy dinh dưỡng trẻ em (Mã CTMT 00517)</t>
  </si>
  <si>
    <t>Dự án 8: Thực hiện bình đẳng giới và giải quyết những vấn đề cấp thiết đối với phụ nữ và trẻ em (Mã CTMT 00518)</t>
  </si>
  <si>
    <t>Dự án 9: Đầu tư phát triển nhóm dân tộc thiểu số rất ít người và nhóm dân tộc còn nhiều khó khăn (Mã CTMT 00519)</t>
  </si>
  <si>
    <t>Dự án 10: Truyền thông, tuyên truyền, vận động trong vùng đồng bào dân tộc thiểu số và miền núi. Kiểm tra, giám sát đánh giá việc tổ chức thực hiện chương trình (Mã CTMT 00521)</t>
  </si>
  <si>
    <t>Cấp nước sinh hoạt xã Nhất Hòa</t>
  </si>
  <si>
    <t>UBND xã Đồng Ý</t>
  </si>
  <si>
    <t>UBND xã Hưng Vũ</t>
  </si>
  <si>
    <t>UBND xã Nhất Tiến</t>
  </si>
  <si>
    <t>UBND xã Tân Lập</t>
  </si>
  <si>
    <t>3.9</t>
  </si>
  <si>
    <t>Chương trình mục tiêu quốc gia phát triển kinh tế - xã hội vùng đồng bào dân tộc thiểu số và miền núi giai đoạn 2021-2030, giai đoạn I: từ năm 2021 đến năm 2025</t>
  </si>
  <si>
    <t>Chi khác ngân sách</t>
  </si>
  <si>
    <t>Trường Mầm non xã Tân Hương</t>
  </si>
  <si>
    <t>Trường mầm non thị trấn Bắc Sơn</t>
  </si>
  <si>
    <t>Trường mầm non xã Long Đống</t>
  </si>
  <si>
    <t>Trường mầm non xã Vũ Lễ</t>
  </si>
  <si>
    <t>Trường mầm non xã Vũ Lăng</t>
  </si>
  <si>
    <t>Trường mầm non xã Tân Tri</t>
  </si>
  <si>
    <t>Trường mầm non xã Chiến Thắng</t>
  </si>
  <si>
    <t>Trường mầm non xã Nhất Hoà</t>
  </si>
  <si>
    <t>Trường mầm non xã Nhất Tiến</t>
  </si>
  <si>
    <t>Trường mầm non xã Trấn Yên</t>
  </si>
  <si>
    <t>Trường mầm non xã Tân Thành</t>
  </si>
  <si>
    <t>Trường mầm non xã Đồng ý</t>
  </si>
  <si>
    <t>Trường mầm non xã Hưng Vũ</t>
  </si>
  <si>
    <t>Trường mầm non xã Vũ Sơn</t>
  </si>
  <si>
    <t>Trường mầm non xã Bắc Quỳnh</t>
  </si>
  <si>
    <t>Trường mầm non xã Tân Lập</t>
  </si>
  <si>
    <t>Trường mầm non xã Tân Hương</t>
  </si>
  <si>
    <t>Trường mầm non xã Chiêu Vũ</t>
  </si>
  <si>
    <t>Trường mầm non xã Vạn Thủy</t>
  </si>
  <si>
    <t>Trường tiểu học thị trấn Bắc Sơn</t>
  </si>
  <si>
    <t>Trường tiểu học xã Long Đống</t>
  </si>
  <si>
    <t>Trường tiểu học xã Hưng Vũ</t>
  </si>
  <si>
    <t>Trường PTDT BT tiểu học 1 xã Trấn Yên</t>
  </si>
  <si>
    <t>Trường PTDT BT tiểu học 2 xã Trấn Yên</t>
  </si>
  <si>
    <t>Trường tiểu học 1 xã Vũ Lăng</t>
  </si>
  <si>
    <t>Trường tiểu học 2 xã Vũ Lăng</t>
  </si>
  <si>
    <t>Trường tiểu học xã Nhất Hòa</t>
  </si>
  <si>
    <t>Trường PTDT BT tiểu học 1 xã Nhất Tiến</t>
  </si>
  <si>
    <t>Trường PTDT BT tiểu học 2 xã Nhất Tiến</t>
  </si>
  <si>
    <t>Trường tiểu học 1 xã Vũ Lễ</t>
  </si>
  <si>
    <t>Trường tiểu học 2 xã Vũ Lễ</t>
  </si>
  <si>
    <t>Trường tiểu học xã Vũ Sơn</t>
  </si>
  <si>
    <t>Trường tiểu học xã Tân Tri</t>
  </si>
  <si>
    <t>Trường tiểu học xã Đồng ý</t>
  </si>
  <si>
    <t>Trường tiểu học xã Tân Lập</t>
  </si>
  <si>
    <t>Trường tiểu học xã Bắc Quỳnh</t>
  </si>
  <si>
    <t>Trường THCS xã Bắc Quỳnh</t>
  </si>
  <si>
    <t>Trường THCS Thị Trấn</t>
  </si>
  <si>
    <t>(Nghị định 31/2017/NĐ-CP ngày 23/3/2017)</t>
  </si>
  <si>
    <t>Quỹ công đức đền thờ liệt sỹ</t>
  </si>
  <si>
    <t>Các khoản thu sự nghiệp các đơn vị trường học đã bao gồm các khoản NSNN cấp bù học phí</t>
  </si>
  <si>
    <t xml:space="preserve"> - Chương trình MTQG C phát triển kinh tế - xã hội vùng đồng bào dân tộc thiểu số và miền núi giai đoạn 2021-2030</t>
  </si>
  <si>
    <t>CÁC NHIỆM VỤ CHI KHÁC (ghi thu ghi chi vốn viện trợ)</t>
  </si>
  <si>
    <t xml:space="preserve">  Chi hoạt động văn hóa thông tin</t>
  </si>
  <si>
    <t xml:space="preserve">  Chi các hoạt động kinh tế</t>
  </si>
  <si>
    <t xml:space="preserve"> Chương trình MTQG C phát triển kinh tế - xã hội vùng đồng bào dân tộc thiểu số và miền núi giai đoạn 2021-2030</t>
  </si>
  <si>
    <t>Giá trị khối lượng thực hiện từ khởi công đến 31/12/2022</t>
  </si>
  <si>
    <t>Lũy kế vốn đã bố trí đến 31/12/2022</t>
  </si>
  <si>
    <t>Phòng Tài chính - Kế hoạch</t>
  </si>
  <si>
    <t>Chưa phân bổ chi tiết dư tại huyện</t>
  </si>
  <si>
    <t>Vốn cân đối ngân sách địa phương (bao gồm cả cấp huyện, cấp xã)</t>
  </si>
  <si>
    <t xml:space="preserve">Ngân sách huyện </t>
  </si>
  <si>
    <t>1/</t>
  </si>
  <si>
    <t>Ban quản lý dự án Đầu tư XD huyện</t>
  </si>
  <si>
    <t>Trụ sở UBND Thị Trấn Bắc Sơn</t>
  </si>
  <si>
    <t>Trường Tiểu học xã Bắc Quỳnh</t>
  </si>
  <si>
    <t>Đầu tư xây dựng các hạng mục phụ trợ UBND xã Vạn Thủy</t>
  </si>
  <si>
    <t>Trường mầm non xã Chiến Thắng; hạng mục: 04 phòng học.</t>
  </si>
  <si>
    <t xml:space="preserve">Các hạng mục phụ trợ UBND xã Vũ Lễ </t>
  </si>
  <si>
    <t>Dự án khởi công mới</t>
  </si>
  <si>
    <t>Trụ sở UBND xã Chiến Thắng</t>
  </si>
  <si>
    <t>Trụ sở UBND xã Vũ Lăng</t>
  </si>
  <si>
    <t>2/</t>
  </si>
  <si>
    <t>7352726 - Xi măng làm đường GT nông thôn xã</t>
  </si>
  <si>
    <t>NGUỒN THU SỬ DỤNG ĐẤT</t>
  </si>
  <si>
    <t>Xây dựng cơ sở dữ liệu về đất đai</t>
  </si>
  <si>
    <t>Chuyển đổi hệ tọa độ, đo đạc chỉnh lý BDĐC, lập HSĐC, cấp GCNQSDĐ và xây dự cơ sở DLĐC thị trấn Bắc Sơn</t>
  </si>
  <si>
    <t>Các nhiệm vụ chi theo thực tế</t>
  </si>
  <si>
    <t>3/</t>
  </si>
  <si>
    <t>4/</t>
  </si>
  <si>
    <t>Trường Mầm Non xã Tân Hương</t>
  </si>
  <si>
    <t xml:space="preserve"> Trường TH&amp;THCS xã Tân Hương</t>
  </si>
  <si>
    <t>Nhà Văn hóa xã Tân Hương</t>
  </si>
  <si>
    <t>Trạm Y tế xã Tân Hương</t>
  </si>
  <si>
    <t>Cải tạo, sửa chữa nhà làm việc UBND xã Bắc Quỳnh</t>
  </si>
  <si>
    <t>Nhà văn hóa xã  Chiêu Vũ</t>
  </si>
  <si>
    <t>Trường TH&amp;THCS  xã Chiêu Vũ</t>
  </si>
  <si>
    <t>Nâng cấp nhà làm việc UBND xã Chiêu Vũ</t>
  </si>
  <si>
    <t>5/</t>
  </si>
  <si>
    <t>6/</t>
  </si>
  <si>
    <t>CẤP XÃ</t>
  </si>
  <si>
    <t xml:space="preserve">B </t>
  </si>
  <si>
    <t>VỐN CHƯƠNG TRÌNH MỤC TIÊU QUỐC GIA</t>
  </si>
  <si>
    <t>B.1</t>
  </si>
  <si>
    <t>VỐN CHƯƠNG TRÌNH MTQG XÂY DỰNG NÔNG THÔN MỚI</t>
  </si>
  <si>
    <t>CẤP HUYỆN</t>
  </si>
  <si>
    <t>Trường Mầm non xã Vũ lăng</t>
  </si>
  <si>
    <t>Trường THCS xã Vũ lăng</t>
  </si>
  <si>
    <t>Nhà văn hóa xã Vũ lăng</t>
  </si>
  <si>
    <t>Đường giao thông Làng Dọc - Liên Lạc xã Vũ Lăng</t>
  </si>
  <si>
    <t>Đường giao thông Thanh Yên 1 - Bảo Thanh - Bản Luông xã Vũ Lăng (đấu nối Km11/ĐH.78)</t>
  </si>
  <si>
    <t>Mương thủy lợi Nà Ngoa - Bảo Luân xã Vũ lăng</t>
  </si>
  <si>
    <t>Nâng cấp sửa chữa mương thủy lợi Sông Hóa 1 - Sông Hóa 2 xã Vũ lăng</t>
  </si>
  <si>
    <t>Trường THCS xã Vũ lễ</t>
  </si>
  <si>
    <t>Đường điện 0,4Kv cấp cho 13 hộ dân xóm Khau Kheo thôn Lân Kẽm, xã Vũ Lễ</t>
  </si>
  <si>
    <t>Các dự án khởi công mới năm 2022</t>
  </si>
  <si>
    <t>Trường mầm non xã Vũ lăng</t>
  </si>
  <si>
    <t>Trường tiểu học 1 xã Vũ lăng</t>
  </si>
  <si>
    <t>Trường tiểu học 2 xã Vũ lăng</t>
  </si>
  <si>
    <t>Đường giao thông Thanh yên 1 Bảo Thanh - Bản Luông xã Vũ lăng (đầu nối Km11/ĐH.78)</t>
  </si>
  <si>
    <t>Trường TH &amp; THCS xã Tân Hương</t>
  </si>
  <si>
    <t>Nhà văn hóa xã Tân Hương</t>
  </si>
  <si>
    <t>Trạm y tế xã Tân Hương</t>
  </si>
  <si>
    <t>Nhà văn hóa xã Chiêu Vũ</t>
  </si>
  <si>
    <t>Trường Th&amp; THCS xã Chiêu Vũ</t>
  </si>
  <si>
    <t>B.2</t>
  </si>
  <si>
    <t>VỐN ĐẦU TƯ PHÁT TRIỂN CHƯƠNG TRÌNH MTQG VÙNG ĐỒNG BÀO DÂN TỘC THIỂU SỐ VÀ MIỀN NÚI THEO QĐ SỐ 2952/QĐ-UBND, NGÀY 30/8/2022</t>
  </si>
  <si>
    <t>Xã Đặc biệt khó khăn</t>
  </si>
  <si>
    <t xml:space="preserve"> Trường THCS xã Nhất Hòa</t>
  </si>
  <si>
    <t>Đường giao thông vào nhà Văn hóa thôn Đon Úy - Co Tin xã Tân Hương</t>
  </si>
  <si>
    <t>Đường giao thông Nà Tấu xã Tân Hương</t>
  </si>
  <si>
    <t>Đường giao thông thôn Pá Ó xã Trấn Yên</t>
  </si>
  <si>
    <t>Đường giao thông thôn Lân Cà - Lân Hoèn xã Trấn Yên</t>
  </si>
  <si>
    <t>Cầu Dộc Miếu thôn Yên Thành - Nà gỗ xã Tân  Thành</t>
  </si>
  <si>
    <t>Đường giao thông  Lân Vài , thôn Bình An xã Tân  Thành</t>
  </si>
  <si>
    <t>Đường giao thông xã Nà Thí - Bản Khuông xã Vạn Thủy</t>
  </si>
  <si>
    <t>Đường giao thông từ Cầu Suối Nay - Ngã 3 suối cạn xã Tân  Tri</t>
  </si>
  <si>
    <t>Đường giao thông từ Cổng trường Mầm non - NVH thôn Bình An, xã Tân  Tri</t>
  </si>
  <si>
    <t>Thôn Đặc biệt khó khăn</t>
  </si>
  <si>
    <t>Đường giao thông thôn Bản Thí xã Long Đống (hạ đèo nàng tiên)</t>
  </si>
  <si>
    <t>Đường giao thông Nà Niệc - Ao Nai  xã Nhất Tiến</t>
  </si>
  <si>
    <t>Dự án 5: Phát triển giáo dục đào tạo nâng cao chất lượng nguồn nhân lực</t>
  </si>
  <si>
    <t>Hỗ trợ đất sản xuất tại xã (NS huyện)</t>
  </si>
  <si>
    <t>Cấp nước sinh hoạt thôn Nà Gỗ xã Tân Thành</t>
  </si>
  <si>
    <t>Thôn đặc biệt khó khăn</t>
  </si>
  <si>
    <t>Đường giao thông thông  Tân Kỳ - Táp Già xã Chiêu Vũ</t>
  </si>
  <si>
    <t>Đường giao thông Bản Luông -Thâm Dầu - Kéo Coi  xã Vũ Lăng</t>
  </si>
  <si>
    <t>Đường giao thông Lân Kẽm - Thống Nhất xã Vũ Lễ</t>
  </si>
  <si>
    <t>Đường giao thông xóm Nà Riến, thôn Nà Cái, xã Tân Lập</t>
  </si>
  <si>
    <t>7/</t>
  </si>
  <si>
    <t>Hỗ trợ đầu tư xây dựng nhà văn hóa thôn Bản Đắc xã Nhất Hòa</t>
  </si>
  <si>
    <t>8/</t>
  </si>
  <si>
    <t>Hỗ trợ đầu tư xây dựng nhà văn hóa thôn Làng Mỏ xã Trấn Yên</t>
  </si>
  <si>
    <r>
      <t>Vốn</t>
    </r>
    <r>
      <rPr>
        <b/>
        <sz val="9"/>
        <rFont val="Times New Roman"/>
        <family val="1"/>
      </rPr>
      <t xml:space="preserve"> </t>
    </r>
    <r>
      <rPr>
        <b/>
        <i/>
        <sz val="9"/>
        <rFont val="Times New Roman"/>
        <family val="1"/>
      </rPr>
      <t>trong nước</t>
    </r>
  </si>
  <si>
    <t>Chi viện trợ (ghi thu ghi chi vốn viện trợ)</t>
  </si>
  <si>
    <t>Chi viện trợ</t>
  </si>
  <si>
    <t>CHI VIỆN TRỢ (ghi thu ghi chi vốn viện trợ)</t>
  </si>
  <si>
    <t>Các nhiệm vụ chi khác</t>
  </si>
  <si>
    <r>
      <t xml:space="preserve">QUYẾT TOÁN CHI NGÂN SÁCH CẤP TỈNH (HUYỆN, XÃ) CHO TỪNG CƠ QUAN, TỔ CHỨC THEO LĨNH VỰC </t>
    </r>
    <r>
      <rPr>
        <b/>
        <sz val="14"/>
        <color indexed="12"/>
        <rFont val="Times New Roman"/>
        <family val="1"/>
      </rPr>
      <t>NĂM 2023</t>
    </r>
  </si>
  <si>
    <t>Trường TH&amp;THCS xã Tân Thành</t>
  </si>
  <si>
    <r>
      <t xml:space="preserve">QUYẾT TOÁN CHI ĐẦU TƯ PHÁT TRIỂN CỦA NGÂN SÁCH CẤP TỈNH (HUYỆN, XÃ) CHO TỪNG CƠ QUAN, TỔ CHỨC THEO LĨNH VỰC NĂM </t>
    </r>
    <r>
      <rPr>
        <b/>
        <sz val="12"/>
        <color indexed="12"/>
        <rFont val="Times New Roman"/>
        <family val="1"/>
      </rPr>
      <t>2023</t>
    </r>
  </si>
  <si>
    <t>Phòng Nông nghiệp và PTNT</t>
  </si>
  <si>
    <r>
      <t xml:space="preserve">QUYẾT TOÁN CHI THƯỜNG XUYÊN CỦA NGÂN SÁCH CẤP HUYỆN, XÃ CHO TỪNG CƠ QUAN, TỔ CHỨC THEO LĨNH VỰC NĂM </t>
    </r>
    <r>
      <rPr>
        <b/>
        <sz val="14"/>
        <color indexed="12"/>
        <rFont val="Times New Roman"/>
        <family val="1"/>
      </rPr>
      <t>2023</t>
    </r>
  </si>
  <si>
    <r>
      <t xml:space="preserve">TỔNG HỢP QUYẾT TOÁN CHI THƯỜNG XUYÊN NGÂN SÁCH CẤP HUYỆN, XÃ
CỦA TỪNG CƠ QUAN, TỔ CHỨC THEO NGUỒN VỐN NĂM </t>
    </r>
    <r>
      <rPr>
        <b/>
        <sz val="14"/>
        <color indexed="12"/>
        <rFont val="Times New Roman"/>
        <family val="1"/>
      </rPr>
      <t>2023</t>
    </r>
  </si>
  <si>
    <r>
      <t xml:space="preserve">QUYẾT TOÁN CHI NGÂN SÁCH ĐỊA PHƯƠNG TỪNG HUYỆN, XÃ NĂM </t>
    </r>
    <r>
      <rPr>
        <b/>
        <sz val="14"/>
        <color indexed="12"/>
        <rFont val="Times New Roman"/>
        <family val="1"/>
      </rPr>
      <t>2023</t>
    </r>
  </si>
  <si>
    <t>QUYẾT TOÁN CHI CHƯƠNG TRÌNH MỤC TIÊU QUỐC GIA NĂM 2023</t>
  </si>
  <si>
    <t>Trung tâm y tế</t>
  </si>
  <si>
    <t>Tiếp tục thực hiện có hiệu quả cơ cấu lại ngành nông nghiệp, phát triển kinh tế nông thôn triển khai mạnh mẽ Chương trình mỗi xã một sản phẩm (OCOP) nhằm nâng cao giá trị gia tăng, phù hợp với quá trình chuyển đổi số, thích ứng với biến đổi khí hậu; phát triển mạnh ngành nghề nông thôn; phát triển du lịch nông thôn; nâng cao hiệu quả hoạt động của các hợp tác xã; hỗ trợ các doanh nghiệp khởi nghiệp ở nông thôn; nâng cao chất lượng đào tạo nghề cho lao động nông thôn... góp phần nâng cao thu nhập người dân theo hướng bền vững (Mã CTMT 00493)</t>
  </si>
  <si>
    <t>Chương trình mục tiêu quốc gia năm 2023</t>
  </si>
  <si>
    <t>Nâng cao chất lượng đời sống văn hóa của người dân nông thôn; bảo tồn và phát huy các giá trị văn hóa truyền thống theo hướng bền vững gắn với phát triển du lịch nông thôn (Mã CTMT 00496)</t>
  </si>
  <si>
    <t>Nâng cao chất lượng môi trường; xây dựng cảnh quan nông thôn sáng - xanh - sạch - đẹp, an toàn; giữ gìn và khôi phục cảnh quan truyền thống của nông thôn Việt Nam (Mã CTMT 00497)</t>
  </si>
  <si>
    <t>Đẩy mạnh và nâng cao chất lượng các dịch vụ hành chính công; nâng cao chất lượng hoạt động của chính quyền cơ sở; thúc đẩy quá trình chuyển đổi số trong nông thôn mới, tăng cường ứng dụng công nghệ thông tin, công nghệ số, xây dựng nông thôn mới thông minh; bảo đảm và tăng cường khả năng tiếp cận pháp luật cho người dân; tăng cường giải pháp nhằm đảm bảo bình đẳng giới và phòng chống bạo lực trên cơ sở giới (Mã CTMT 00498)</t>
  </si>
  <si>
    <t xml:space="preserve">Ủy ban Mặt trận tổ quốc </t>
  </si>
  <si>
    <t>Dự án 2: Đa dạng hóa sinh kế, phát triển mô hình giảm nghèo ( mã CTMT 00472)</t>
  </si>
  <si>
    <t>Dự án 3: Hỗ trợ phát triển sản xuất, cải thiện dinh dưỡng ( mã CTMT 00473)</t>
  </si>
  <si>
    <t>Giữ vững quốc phòng, an ninh và trật tự xã hội nông thôn (Mã CTMT 00501)</t>
  </si>
  <si>
    <t>Dự án 1: Giải quyết tình trạng thiếu đất ở, nhà ở, đất sản xuất, nước sinh hoạt (Mã CTMT 00511)</t>
  </si>
  <si>
    <t>Tiểu dự án 1: Đổi mới hoạt động, củng cố phát triển các trường dân tộc nội trú, trường phổ thông dân tộc bán trú, trường phổ thông có học sinh ở bán trú và xoá mù chữ cho người dân vùng đồng bào dân tộc thiểu số</t>
  </si>
  <si>
    <t>Nội dung 3: Về xóa mù chữ cho người dân vùng đồng bào DTTS</t>
  </si>
  <si>
    <t>Tiểu dự án 2: Cải thiện dinh dưỡng (Sự nghiệp y tế, dân số và gia đình)</t>
  </si>
  <si>
    <t>Hỗ trợ tiếp cận, can thiệp trực tiếp phòng chống suy dinh dưỡng, thiếu vi chất dinh dưỡng cho bà mẹ trẻ em dưới 5 tuổi; tăng cường hoạt động cải thiện chất lượng bữa ăn học đường và giáo dục chăm sóc dinh dưỡng</t>
  </si>
  <si>
    <t>+</t>
  </si>
  <si>
    <t>Dự án 3: Hỗ trợ phát triển sản xuất, cải thiện dinh dưỡng (Mã CTMT 00473)</t>
  </si>
  <si>
    <t>Tiểu Dự án 1: Giảm nghèo về thông tin (Sự nghiệp văn hóa thông tin)</t>
  </si>
  <si>
    <t>Mỏ rộng hệ thống cụm loa ứng dụng CNTT-Viễn thông; Thay thế thế cụm loa có dây, không dây FM bị hỏng; Đàu tư cơ sở vật chất trang thiết bị cho 06 điểm bưu điện tại xã ĐBKK</t>
  </si>
  <si>
    <t>Tiểu Dự án 1: Nâng cao năng lực thực hiện Chương trình (Sự nghiệp giáo dục - đào tạo và dạy nghề)</t>
  </si>
  <si>
    <t>Xây dựng tài liệu, đào tạo tập huấn, bồi dưỡng kiến thức, kỹ năng nghiệp vụ cho đội ngũ cán bộ làm công tác giảm nghèo; Tổ chức hoc tập, trao đổi kinh nghiệm và các hoạt động khác về công tác giảm nghèo (NSTW)</t>
  </si>
  <si>
    <t>Tiểu Dự án 2: Giám sát, đánh giá (Sự nghiệp giáo dục - đào tạo và dạy nghề)</t>
  </si>
  <si>
    <t>Kiểm tra, giám sát đánh giá kết quả thực hiện các chính sách, chương trình dự án giảm nghèo định kỳ, hằng năm, đột xuất; Rà soát hộ nghèo, hộ cận nghèo hằng năm; tổ chức điều tra đánh giá dầu kỳ, giữa kỳ và cuối kỳ (NSTW)</t>
  </si>
  <si>
    <t>Tiểu Dự án 2: Truyền thông giảm nghèo (Sự nghiệp văn hóa thông tin)</t>
  </si>
  <si>
    <t>Tuyên truyền, giáo dục nâng cao nhận thức trách nhiệm các cấp các ngành và toàn xã hội về công tác giảm nghèo (NSTW)</t>
  </si>
  <si>
    <t>Nâng cấp sang đài truyền thanh ứng dụng CNTT (NSTW)</t>
  </si>
  <si>
    <t>Dự án 4: Phát triển giáo dục nghề nghiệp, việc làm bền vững (Mã CTMT 00474)</t>
  </si>
  <si>
    <t>Tiểu dự án 1: Phát triển giáo dục nghề nghiệp vùng nghèo, vùng khó khăn (Sự nghiệp giáo dục - đào tạo và dạy nghề)</t>
  </si>
  <si>
    <t>Đào tạo nghề cho các đối tượng hộ nghèo, cận nghèo, hộ mới thoát nghèo, người lao động có thu nhập thấp (NSTW)</t>
  </si>
  <si>
    <t>Hỗ trợ chuyển đổi nghề</t>
  </si>
  <si>
    <t>UBND xã Vũ lễ</t>
  </si>
  <si>
    <t>Mỗi tấn gạo trợ cấp trồng rừng cho hộ nghèo tham gia trồng rừng sản xuất, phát triển lâm sản ngoài gỗ, rừng phòng hộ.</t>
  </si>
  <si>
    <t>Hỗ trợ phát triển sản xuất cộng đồng</t>
  </si>
  <si>
    <t>Duy tu, bảo dưỡng cơ sở hạ tầng</t>
  </si>
  <si>
    <t>Tiểu dự án 3: Dự án phát triển giáo dục nghề nghiệp và giải quyết việc làm cho người lao động vùng dân tộc thiểu số và miền núi</t>
  </si>
  <si>
    <t>Chưa phân bổ chi tiết</t>
  </si>
  <si>
    <t>Tiểu dự án 4: Đào tạo nâng cao năng lực cho cộng đồng và cán bộ triển khai Chương trình ở các cấp</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</si>
  <si>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2021 - 2030 (Sự nghiệp văn hóa thông tin)</t>
  </si>
  <si>
    <t>7.1</t>
  </si>
  <si>
    <t>Tiểu dự án 2: Ứng dụng công nghệ thông tin hỗ trợ phát triển kinh tế - xã hội và đảm bảo an ninh trật tự vùng đồng bào dân tộc thiểu số và miền núi (Sự nghiệp văn hóa thông tin)</t>
  </si>
  <si>
    <t>7.2</t>
  </si>
  <si>
    <t>7.3</t>
  </si>
  <si>
    <t>Tiểu dự án 3: Kiểm tra, giám sát, đánh giá, đào tạo, tập huấn tổ chức thực hiện Chương trình (Các hoạt động kinh tế)</t>
  </si>
  <si>
    <t>3.8</t>
  </si>
  <si>
    <t>UBND Thị Trấn</t>
  </si>
  <si>
    <t>Cấp nước sinh hoạt phân tán</t>
  </si>
  <si>
    <t>Nguồn chưa phân bổ chi tiết</t>
  </si>
  <si>
    <r>
      <t xml:space="preserve">Bổ sung trong năm </t>
    </r>
    <r>
      <rPr>
        <sz val="10"/>
        <rFont val="Times New Roman"/>
        <family val="1"/>
      </rPr>
      <t>(nếu có)</t>
    </r>
  </si>
  <si>
    <r>
      <t xml:space="preserve">Giảm trừ trong năm </t>
    </r>
    <r>
      <rPr>
        <sz val="10"/>
        <rFont val="Times New Roman"/>
        <family val="1"/>
      </rPr>
      <t>(nếu có)</t>
    </r>
  </si>
  <si>
    <t>Trường tiểu học xã Tân Thành</t>
  </si>
  <si>
    <t>Duy tu bảo dưỡng</t>
  </si>
  <si>
    <t>Lập quy hoạch và điều chỉnh quy hoạch</t>
  </si>
  <si>
    <t>UBND Tân Lập</t>
  </si>
  <si>
    <t>3.10</t>
  </si>
  <si>
    <t>3.11</t>
  </si>
  <si>
    <t>3.12</t>
  </si>
  <si>
    <t>Nộp NS cấp trên 820tr</t>
  </si>
  <si>
    <t>Nộp NS cấp trên 330tr</t>
  </si>
  <si>
    <r>
      <t xml:space="preserve">QUYẾT TOÁN CHI BỔ SUNG TỪ NGÂN SÁCH CẤP HUYỆN CHO NGÂN SÁCH TỪNG XÃ NĂM </t>
    </r>
    <r>
      <rPr>
        <b/>
        <sz val="10"/>
        <color indexed="12"/>
        <rFont val="Times New Roman"/>
        <family val="1"/>
      </rPr>
      <t>2023</t>
    </r>
  </si>
  <si>
    <r>
      <t>QUYẾT TOÁN THU NGÂN SÁCH XÃ NĂM</t>
    </r>
    <r>
      <rPr>
        <b/>
        <sz val="12"/>
        <color indexed="12"/>
        <rFont val="Times New Roman"/>
        <family val="1"/>
      </rPr>
      <t xml:space="preserve"> 2023</t>
    </r>
  </si>
  <si>
    <t>NGUỒN VỐN NQ16/NQ-HDND (QĐ 4168/QĐ-UB huyện 20/12/2022)</t>
  </si>
  <si>
    <t>Dự án hoàn thành, bàn giao, đưa vào sử dụng đến ngày 31/12/2022</t>
  </si>
  <si>
    <t>Trường Tiểu học xã Đồng Ý</t>
  </si>
  <si>
    <t>Nhà làm việc cấp IV  UBND xã Tân Lập (05 phòng và WC)</t>
  </si>
  <si>
    <t>Lập Kế hoạch sử dụng đất năm 2024</t>
  </si>
  <si>
    <t>Nhà làm việc Bộ phận một cửa UBND huyện Bắc Sơn</t>
  </si>
  <si>
    <t xml:space="preserve">Trụ sở UBND xã Chiến Thắng </t>
  </si>
  <si>
    <t xml:space="preserve">Trụ sở UBND xã Vũ Lăng </t>
  </si>
  <si>
    <t>Trụ sở UBND thị trấn Bắc Sơn</t>
  </si>
  <si>
    <t>Trường Mầm Non xã Long Đống</t>
  </si>
  <si>
    <t xml:space="preserve"> Nhà Văn hóa xã Long Đống</t>
  </si>
  <si>
    <t>Trường Tiểu học xã Long Đống</t>
  </si>
  <si>
    <t>NGUỒN TĂNG THU NĂM 2023 THU SỬ DỤNG ĐẤT</t>
  </si>
  <si>
    <t>Phòng TNMT</t>
  </si>
  <si>
    <t xml:space="preserve"> Chuyển đổi hệ tọa độ, đo đạc chỉnh lý bản đồ địa chính, lập hồ sơ địa chính, cấp giấy chứng nhận quyền sử dụng đất và xây dựng cơ sở dữ liệu địa chính thị trấn Bắc Sơn, huyện Bắc Sơn</t>
  </si>
  <si>
    <t>Dự án chuyển tiếp</t>
  </si>
  <si>
    <t>Lát vỉa hè dọc hai bên đường quốc lộ 1B thuộc khối phố Trần Phú, thị trấn Bắc Sơn và thôn Long Hưng, xã Long Đống (chân đèo Tam Canh)</t>
  </si>
  <si>
    <t>Dự án khởi công mới năm 2023</t>
  </si>
  <si>
    <t>Mở rộng, nâng cấp Bảo tàng Khởi nghĩa Bắc Sơn</t>
  </si>
  <si>
    <t>Cải tạo, nâng cấp Trụ sở Công an huyện Bắc Sơn</t>
  </si>
  <si>
    <t>VỐN CHI CHUYỂN NGUỒN NGÂN SÁCH HUYỆN THEO QUYẾT ĐỊNH 4577 TĂNG THU TIẾT KIỆM CHI</t>
  </si>
  <si>
    <t>Đo đạc, lập hồ sơ đăng ký đất đai, cấp giấy chứng nhận quyền sử dụng đất sinh hoạt cộng đồng cho cộng đồng dân cư các thôn, khối phố trên địa bàn huyên jBawcs Sơn, tỉnh lạng Sơn năm 2022</t>
  </si>
  <si>
    <t>Lập Kế hoạch sử dụng đất năm 2023 huyện Bắc Sơn</t>
  </si>
  <si>
    <t>Chi phí lập điều chỉnh quy hoạch sử dụng đất TK 2021 - 2030 huyện Bắc Sơn</t>
  </si>
  <si>
    <t>Đối ứng vốn đầu tư phát triển các chương trình MTQG năm 2022</t>
  </si>
  <si>
    <t>Chương trình MTQG XDNTM</t>
  </si>
  <si>
    <t>Đường giao thông Thanh Yên 1 - Bảo Thanh - Bản Luông xã Vũ Lăng (Đấu nối Km11/ĐH.78)</t>
  </si>
  <si>
    <t>Chương trình phát triển kinh tế xã hội vùng đồng bào dân tộc thiểu số và miền núi</t>
  </si>
  <si>
    <t>Đường giao thông xã Nà Thí - Bản Khuông xã Vạn Thủy</t>
  </si>
  <si>
    <t>Hỗ trợ các dự án cấp bách, thanh toán nợ</t>
  </si>
  <si>
    <t>Sửa chữa cầu luông Km51+110 và sửa chữa mặt đường từ Km46+179 - Km53, ĐT.243</t>
  </si>
  <si>
    <t>KINH PHÍ GIẢI PHÓNG MẶT BẰNG THEO QĐ 4584/QĐ-UBND, Ngày 27/12/2023</t>
  </si>
  <si>
    <t xml:space="preserve">Trường MN xã Hưng Vũ </t>
  </si>
  <si>
    <t>Trường tiểu học và THCS xã Tân Thành</t>
  </si>
  <si>
    <t>Lập quy hoạch chung xây dựng xã (Của 05 xã)</t>
  </si>
  <si>
    <t>Lập quy hoạch chung xây dựng xã Vạn thủy</t>
  </si>
  <si>
    <t>Lập quy hoạch chung xây dựng xã Tân Tri</t>
  </si>
  <si>
    <t>Lập quy hoạch chung xây dựng xã Vũ Lễ</t>
  </si>
  <si>
    <t>Lập quy hoạch chung xây dựng xã Hưng Vũ</t>
  </si>
  <si>
    <t>Lập quy hoạch chung xây dựng xã Trấn Yên</t>
  </si>
  <si>
    <t>Cải tạo nâng cấp đường trục thôn trí Yên - Nà Gù xã Bắc Quỳnh</t>
  </si>
  <si>
    <t>Cải tao nâng cấp đường Liên Thôn nà Riềng - Đon Riệc 1 - Bắc Sơn xã Bắc Quỳnh</t>
  </si>
  <si>
    <t>KINH PHÍ HỖ TRỢ ĐỀ ÁN PHÁT TRIỂN GIAO THÔNG NÔNG THÔN TỈNH LẠNG SƠN, GIAI ĐOẠN 2021-2025, THEO QĐ SỐ 897 NGÀY 28/3/2023</t>
  </si>
  <si>
    <t>Đường giao thông Lân Páng - Thuỷ Hội</t>
  </si>
  <si>
    <t>Đường giao thông Tiên Đáo - Nà Rào - Rạ Lá - Ngọc Môn</t>
  </si>
  <si>
    <t>Đường giao thông An Ninh Minh Quang - Bản Đăng Bản Thí</t>
  </si>
  <si>
    <t>Đường giao thông thôn Lân Luông, xã Long Đống</t>
  </si>
  <si>
    <t>Thanh Yên 1 - Bảo Thanh - Bản Luông (qua Thanh Yên 1, Bản Luông, Bảo Thanh)</t>
  </si>
  <si>
    <t xml:space="preserve"> Liên Lạc- Làng Dọc (qua  Liên lạc, Làng Dọc)</t>
  </si>
  <si>
    <t>Đường giao thông Lân Vi - Hồng Phong 4</t>
  </si>
  <si>
    <t>PHÂN BỔ CHI TIẾT KINH PHÍ HỖ TRỢ ĐỀ ÁN PHÁT TRIỂN GTNT TỈNH LẠNG SƠN, GIAI ĐOẠN 2021-2025 CHO CÁC CÔNG TRÌNH THỰC HIỆN NĂM 2021, NĂM 2022 theo QĐ 2960, 27/7/2023
GIAI ĐOẠN 2021 - 2025</t>
  </si>
  <si>
    <t>VỐN ĐẦU TƯ PHÁT TRIỂN CHƯƠNG TRÌNH MTQG XÂY DỰNG NÔNG THÔN MỚI THEO QĐ SỐ 4168/QĐ-UBND, NGÀY 20/12/2022</t>
  </si>
  <si>
    <t>Các dự án hoàn thành và đưa vào sử dụng trước 31/12/2022</t>
  </si>
  <si>
    <t>Dự án chuyển tiếp hoàn thành năm 2023</t>
  </si>
  <si>
    <t>CHƯƠNG TRÌNH MỤC TIÊU QUỐC GIA XÂY DỰNG NÔNG THÔN MỚI VỐN NGÂN SÁCH TỈNH ĐỐI ỨNG THEO QĐ 1607/QĐ-UBND, NGÀY  10/7/2023</t>
  </si>
  <si>
    <t>VỐN TĂNG THU PHÍ NĂM 2023 (BÙ HỤT THU SỬ DỤNG ĐẤT)</t>
  </si>
  <si>
    <t>VỐN CÂN ĐỐI THEO TIÊU CHÍ</t>
  </si>
  <si>
    <t>VỐN NGÂN SÁCH HUYỆN ĐỐI ỨNG THEO QĐ 1607/QĐ-UBND NGÀY 10/7/2023</t>
  </si>
  <si>
    <t>Cải tạo, nâng cấp trường Tiểu học xã Vũ Sơn</t>
  </si>
  <si>
    <t>Cải tạo, nâng cấp trường Mầm non xã Đồng Ý</t>
  </si>
  <si>
    <t>Đường giao thông Nà Danh - Nà Tân xã Vũ Sơn</t>
  </si>
  <si>
    <t>Cải tạo, nâng cấp trụ sở UBND xã Long Đống và các hạng mục phụ trợ</t>
  </si>
  <si>
    <t>Hỗ trơ xi măng GTNT thực hiện Đề án phát triển GTNT theo QĐ 162/QĐ-UBND ngày 15/01/2021</t>
  </si>
  <si>
    <t>Phòng NTPTNT</t>
  </si>
  <si>
    <t xml:space="preserve">Hỗ trợ xi măng làm thủy lợi </t>
  </si>
  <si>
    <t>Hỗ trợ làm đường trục thôn xã Đồng Ý</t>
  </si>
  <si>
    <t>Hỗ trợ làm đường trục thôn xã Long Đống</t>
  </si>
  <si>
    <t>TẠM ỨNG NGÂN SÁCH HUYỆN HỖ TRỢ CÔNG TÁC CBĐT CỦA XÃ NTM 2024-2025</t>
  </si>
  <si>
    <t>Nhà Văn hóa xã Tân  Thành</t>
  </si>
  <si>
    <t xml:space="preserve">Trường Mầm non xã Tân Thành </t>
  </si>
  <si>
    <t xml:space="preserve"> Nhà Văn hóa xã Nhất Hòa</t>
  </si>
  <si>
    <t xml:space="preserve"> Trường Mầm non xã Nhất Hòa</t>
  </si>
  <si>
    <t xml:space="preserve"> Trường Tiểu học xã Nhất Hòa</t>
  </si>
  <si>
    <t>VỐN ĐẦU TƯ PHÁT TRIỂN CHƯƠNG TRÌNH MTQG VÙNG ĐỒNG BÀO DÂN TỘC THIỂU SỐ VÀ MIỀN NÚI NĂM 2023 THEO QĐ SỐ 4168/QĐ-UBND, NGÀY 20/12/2022</t>
  </si>
  <si>
    <t>Phai Mỏ Luông thôn Nam Hương 1 xã Tân Hương</t>
  </si>
  <si>
    <t>Đường giao thông từ thôn Yên Thành xã Tân  Thành giáp xã Phương Giao, huyện Võ Nhai, tỉnh Thái Nguyên</t>
  </si>
  <si>
    <t>Cấp nước sinh hoạt thôn Lân Cà 2, xã Trấn Yên</t>
  </si>
  <si>
    <t>Cấp nước sinh hoạt thôn Lân Kẽm xã Vũ Lễ</t>
  </si>
  <si>
    <t>Cấp nước sinh hoạt  xã Vũ Sơn</t>
  </si>
  <si>
    <t>xã Nhất Hoà</t>
  </si>
  <si>
    <t xml:space="preserve">Đường giao thông thôn Thái Bằng 1 xã Nhất Hoà đến địa bàn xã Tân Thành </t>
  </si>
  <si>
    <t>xã Tân Hương</t>
  </si>
  <si>
    <t>Đường giao thông Khưa Cái-Lân Vỳ thôn Nam Hương 2</t>
  </si>
  <si>
    <t>xã Tân Thành</t>
  </si>
  <si>
    <t xml:space="preserve">Đường giao thông (từ Yên Thành, xã Tân Thành - giáp ranh xã Nhất Hòa) </t>
  </si>
  <si>
    <t>9/</t>
  </si>
  <si>
    <t>10/</t>
  </si>
  <si>
    <t>11/</t>
  </si>
  <si>
    <t>Nhà văn hóa thôn Suối Tín xã Tân Tri</t>
  </si>
  <si>
    <t>Nhà văn hóa thôn Nóoc Mò xã Trấn Yên</t>
  </si>
  <si>
    <t>PHƯƠNG ÁN PHÂN BỔ KHV CT PHỤC HỒI VÀ PHÁT TRIỂN KINH TẾ - XÃ HỘI NĂM 2023</t>
  </si>
  <si>
    <t>Dự án thành phần 10: Dự án đầu tư xây dựng, cải tạo Trạm Y tế tuyến xã trên địa bàn huyện Bắc Sơn</t>
  </si>
  <si>
    <r>
      <t xml:space="preserve">QUYẾT TOÁN VỐN ĐẦU TƯ CÁC CHƯƠNG TRÌNH, DỰ ÁN SỬ DỤNG VỐN NGÂN SÁCH NHÀ NƯỚC </t>
    </r>
    <r>
      <rPr>
        <b/>
        <sz val="10"/>
        <color indexed="12"/>
        <rFont val="Times New Roman"/>
        <family val="1"/>
      </rPr>
      <t>NĂM 2024</t>
    </r>
  </si>
  <si>
    <t>Dư nguồn đến ngày 31/12/2022</t>
  </si>
  <si>
    <t>Kế hoạch năm 2023</t>
  </si>
  <si>
    <t>Thực hiện năm 2023</t>
  </si>
  <si>
    <t>Dư nguồn đến 31/12/2023</t>
  </si>
  <si>
    <r>
      <t xml:space="preserve">Trong đó: Hỗ trợ từ NSĐP </t>
    </r>
    <r>
      <rPr>
        <sz val="10"/>
        <color indexed="8"/>
        <rFont val="Times New Roman"/>
        <family val="1"/>
      </rPr>
      <t>(nếu có)</t>
    </r>
  </si>
  <si>
    <t xml:space="preserve">Quỹ cứu trợ </t>
  </si>
  <si>
    <r>
      <t>TỔNG HỢP CÁC QUỸ TÀI CHÍNH NHÀ NƯỚC NGOÀI NGÂN SÁCH DO ĐỊA PHƯƠNG QUẢN LÝ</t>
    </r>
    <r>
      <rPr>
        <b/>
        <sz val="10"/>
        <color indexed="12"/>
        <rFont val="Times New Roman"/>
        <family val="1"/>
      </rPr>
      <t xml:space="preserve"> NĂM 2023</t>
    </r>
  </si>
  <si>
    <t>Trung tâm phát triển quỹ đất</t>
  </si>
  <si>
    <r>
      <t xml:space="preserve">TỔNG HỢP THU DỊCH VỤ CỦA ĐƠN VỊ SỰ NGHIỆP CÔNG NĂM </t>
    </r>
    <r>
      <rPr>
        <b/>
        <sz val="12"/>
        <color indexed="12"/>
        <rFont val="Times New Roman"/>
        <family val="1"/>
      </rPr>
      <t>2023</t>
    </r>
  </si>
  <si>
    <r>
      <t xml:space="preserve">QUYẾT TOÁN CÂN ĐỐI NGÂN SÁCH ĐỊA PHƯƠNG </t>
    </r>
    <r>
      <rPr>
        <b/>
        <sz val="12"/>
        <color indexed="12"/>
        <rFont val="Times New Roman"/>
        <family val="1"/>
      </rPr>
      <t>NĂM 2023</t>
    </r>
  </si>
  <si>
    <r>
      <t>QUYẾT TOÁN CÂN ĐỐI NGUỒN THU, CHI NGÂN SÁCH CẤP HUYỆN
VÀ NGÂN SÁCH XÃ</t>
    </r>
    <r>
      <rPr>
        <b/>
        <sz val="12"/>
        <color indexed="12"/>
        <rFont val="Times New Roman"/>
        <family val="1"/>
      </rPr>
      <t xml:space="preserve"> NĂM 2023</t>
    </r>
  </si>
  <si>
    <r>
      <t xml:space="preserve">QUYẾT TOÁN NGUỒN THU NGÂN SÁCH NHÀ NƯỚC
 TRÊN ĐỊA BÀN THEO LĨNH VỰC </t>
    </r>
    <r>
      <rPr>
        <b/>
        <sz val="12"/>
        <color indexed="12"/>
        <rFont val="Times New Roman"/>
        <family val="1"/>
      </rPr>
      <t>NĂM 2023</t>
    </r>
  </si>
  <si>
    <r>
      <t xml:space="preserve">QUYẾT TOÁN CHI NGÂN SÁCH ĐỊA PHƯƠNG THEO LĨNH VỰC NĂM </t>
    </r>
    <r>
      <rPr>
        <b/>
        <sz val="12"/>
        <color indexed="12"/>
        <rFont val="Times New Roman"/>
        <family val="1"/>
      </rPr>
      <t>2023</t>
    </r>
  </si>
  <si>
    <r>
      <t xml:space="preserve">QUYẾT TOÁN CHI NGÂN SÁCH CẤP HUYỆN, XÃ THEO LĨNH VỰC NĂM </t>
    </r>
    <r>
      <rPr>
        <b/>
        <sz val="12"/>
        <color indexed="12"/>
        <rFont val="Times New Roman"/>
        <family val="1"/>
      </rPr>
      <t>2023</t>
    </r>
  </si>
  <si>
    <r>
      <t xml:space="preserve">QUYẾT TOÁN CHI NGÂN SÁCH ĐỊA PHƯƠNG, CHI NGÂN SÁCH CẤP HUYỆN VÀ CHI NGÂN SÁCH XÃ
 THEO CƠ CẤU CHI </t>
    </r>
    <r>
      <rPr>
        <b/>
        <sz val="12"/>
        <color indexed="12"/>
        <rFont val="Times New Roman"/>
        <family val="1"/>
      </rPr>
      <t>NĂM 2023</t>
    </r>
  </si>
  <si>
    <t>VIII</t>
  </si>
  <si>
    <t>Thu huy động đóng góp</t>
  </si>
  <si>
    <t>(Kèm theo Báo cáo số 627/BC-UBND ngày 10 tháng 7 năm 2024 của UBND huyện Bắc Sơn)</t>
  </si>
</sst>
</file>

<file path=xl/styles.xml><?xml version="1.0" encoding="utf-8"?>
<styleSheet xmlns="http://schemas.openxmlformats.org/spreadsheetml/2006/main">
  <numFmts count="1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00\ &quot;₫&quot;;\-#,##0.0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 numFmtId="175" formatCode="#,##0.000"/>
    <numFmt numFmtId="176" formatCode="#,##0.0000"/>
    <numFmt numFmtId="177" formatCode="_-* #,##0.000\ _€_-;\-* #,##0.000\ _€_-;_-* &quot;-&quot;??\ _€_-;_-@_-"/>
    <numFmt numFmtId="178" formatCode="_-* #,##0.0000\ _€_-;\-* #,##0.0000\ _€_-;_-* &quot;-&quot;??\ _€_-;_-@_-"/>
    <numFmt numFmtId="179" formatCode="_-* #,##0.0\ _€_-;\-* #,##0.0\ _€_-;_-* &quot;-&quot;??\ _€_-;_-@_-"/>
    <numFmt numFmtId="180" formatCode="#,##0.00000"/>
    <numFmt numFmtId="181" formatCode="0.000"/>
    <numFmt numFmtId="182" formatCode="#,##0;[Red]#,##0"/>
    <numFmt numFmtId="183" formatCode="0.0"/>
    <numFmt numFmtId="184" formatCode="_(* #,##0_);_(* \(#,##0\);_(* &quot;-&quot;??_);_(@_)"/>
    <numFmt numFmtId="185" formatCode="_-* #,##0.00000000\ _₫_-;\-* #,##0.00000000\ _₫_-;_-* &quot;-&quot;??\ _₫_-;_-@_-"/>
    <numFmt numFmtId="186" formatCode="_-* #,##0.0000\ _₫_-;\-* #,##0.0000\ _₫_-;_-* &quot;-&quot;??\ _₫_-;_-@_-"/>
    <numFmt numFmtId="187" formatCode="_-* #,##0.000000\ _₫_-;\-* #,##0.000000\ _₫_-;_-* &quot;-&quot;??\ _₫_-;_-@_-"/>
    <numFmt numFmtId="188" formatCode="_-* #,##0.00\ _€_-;\-* #,##0.00\ _€_-;_-* &quot;-&quot;\ _€_-;_-@_-"/>
    <numFmt numFmtId="189" formatCode="_(* #,##0.000_);_(* \(#,##0.000\);_(* &quot;-&quot;???_);_(@_)"/>
    <numFmt numFmtId="190" formatCode="_(* #,##0.000_);_(* \(#,##0.000\);_(* &quot;-&quot;??_);_(@_)"/>
    <numFmt numFmtId="191" formatCode="_(* #,##0.0000_);_(* \(#,##0.0000\);_(* &quot;-&quot;???_);_(@_)"/>
    <numFmt numFmtId="192" formatCode="_-* #,##0_-;\-* #,##0_-;_-* &quot;-&quot;_-;_-@_-"/>
    <numFmt numFmtId="193" formatCode="_-* #,##0.00_-;\-* #,##0.00_-;_-* &quot;-&quot;??_-;_-@_-"/>
    <numFmt numFmtId="194" formatCode="_-&quot;$&quot;* #,##0_-;\-&quot;$&quot;* #,##0_-;_-&quot;$&quot;* &quot;-&quot;_-;_-@_-"/>
    <numFmt numFmtId="195" formatCode="_-&quot;$&quot;* #,##0.00_-;\-&quot;$&quot;* #,##0.00_-;_-&quot;$&quot;* &quot;-&quot;??_-;_-@_-"/>
    <numFmt numFmtId="196" formatCode="\ \ \ \ @"/>
    <numFmt numFmtId="197" formatCode=".\ ###\ ;############################################################################################"/>
    <numFmt numFmtId="198" formatCode="&quot;$&quot;#,##0;[Red]\-&quot;$&quot;#,##0"/>
    <numFmt numFmtId="199" formatCode="_-* #,##0\ _F_-;\-* #,##0\ _F_-;_-* &quot;-&quot;\ _F_-;_-@_-"/>
    <numFmt numFmtId="200" formatCode="_-* #,##0.00\ _V_N_D_-;\-* #,##0.00\ _V_N_D_-;_-* &quot;-&quot;??\ _V_N_D_-;_-@_-"/>
    <numFmt numFmtId="201" formatCode="_-* #,##0.00\ _F_-;\-* #,##0.00\ _F_-;_-* &quot;-&quot;??\ _F_-;_-@_-"/>
    <numFmt numFmtId="202" formatCode="_(&quot;$&quot;\ * #,##0_);_(&quot;$&quot;\ * \(#,##0\);_(&quot;$&quot;\ * &quot;-&quot;_);_(@_)"/>
    <numFmt numFmtId="203" formatCode="_-* #,##0\ &quot;F&quot;_-;\-* #,##0\ &quot;F&quot;_-;_-* &quot;-&quot;\ &quot;F&quot;_-;_-@_-"/>
    <numFmt numFmtId="204" formatCode="_-* #,##0\ _V_N_D_-;\-* #,##0\ _V_N_D_-;_-* &quot;-&quot;\ _V_N_D_-;_-@_-"/>
    <numFmt numFmtId="205" formatCode="_ &quot;\&quot;* #,##0_ ;_ &quot;\&quot;* \-#,##0_ ;_ &quot;\&quot;* &quot;-&quot;_ ;_ @_ "/>
    <numFmt numFmtId="206" formatCode="###0"/>
    <numFmt numFmtId="207" formatCode="&quot;$&quot;#&quot;$&quot;##0_);\(&quot;$&quot;#&quot;$&quot;##0\)"/>
    <numFmt numFmtId="208" formatCode="&quot;\&quot;#,##0;[Red]&quot;\&quot;\-#,##0"/>
    <numFmt numFmtId="209" formatCode="0%;\(0%\)"/>
    <numFmt numFmtId="210" formatCode="0.0%"/>
    <numFmt numFmtId="211" formatCode="&quot;SFr.&quot;\ #,##0.00;[Red]&quot;SFr.&quot;\ \-#,##0.00"/>
    <numFmt numFmtId="212" formatCode="&quot;SFr.&quot;\ #,##0.00;&quot;SFr.&quot;\ \-#,##0.00"/>
    <numFmt numFmtId="213" formatCode="_ &quot;SFr.&quot;\ * #,##0_ ;_ &quot;SFr.&quot;\ * \-#,##0_ ;_ &quot;SFr.&quot;\ * &quot;-&quot;_ ;_ @_ "/>
    <numFmt numFmtId="214" formatCode="_ * #,##0_ ;_ * \-#,##0_ ;_ * &quot;-&quot;_ ;_ @_ "/>
    <numFmt numFmtId="215" formatCode="_ * #,##0.00_ ;_ * \-#,##0.00_ ;_ * &quot;-&quot;??_ ;_ @_ "/>
    <numFmt numFmtId="216" formatCode="_ * #,##0.00_)&quot;$&quot;_ ;_ * \(#,##0.00\)&quot;$&quot;_ ;_ * &quot;-&quot;??_)&quot;$&quot;_ ;_ @_ "/>
    <numFmt numFmtId="217" formatCode="_-&quot;\&quot;* #,##0.00_-;\-&quot;\&quot;* #,##0.00_-;_-&quot;\&quot;* &quot;-&quot;??_-;_-@_-"/>
    <numFmt numFmtId="218" formatCode="\$#,##0_);\(\$#,##0\)"/>
    <numFmt numFmtId="219" formatCode="\$#,##0_);[Red]\(\$#,##0\)"/>
    <numFmt numFmtId="220" formatCode="\$#,##0.00_);\(\$#,##0.00\)"/>
    <numFmt numFmtId="221" formatCode="_-&quot;\&quot;* #,##0_-;\-&quot;\&quot;* #,##0_-;_-&quot;\&quot;* &quot;-&quot;_-;_-@_-"/>
    <numFmt numFmtId="222" formatCode="\$#,##0.00_);[Red]\(\$#,##0.00\)"/>
    <numFmt numFmtId="223" formatCode="_-* #,##0.00\ &quot;F&quot;_-;\-* #,##0.00\ &quot;F&quot;_-;_-* &quot;-&quot;??\ &quot;F&quot;_-;_-@_-"/>
    <numFmt numFmtId="224" formatCode="#,##0.0_);\(#,##0.0\)"/>
    <numFmt numFmtId="225" formatCode="_(* #,##0.00_);_(* \(#,##0.00\);_(* &quot;-&quot;&quot;?&quot;&quot;?&quot;_);_(@_)"/>
    <numFmt numFmtId="226" formatCode="&quot;\&quot;#,##0.00;[Red]&quot;\&quot;&quot;\&quot;&quot;\&quot;&quot;\&quot;&quot;\&quot;&quot;\&quot;\-#,##0.00"/>
    <numFmt numFmtId="227" formatCode="_(* #,##0_);_(* \(#,##0\);_(* &quot;-&quot;&quot;?&quot;&quot;?&quot;_);_(@_)"/>
    <numFmt numFmtId="228" formatCode="&quot;\&quot;#,##0;[Red]&quot;\&quot;&quot;\&quot;\-#,##0"/>
    <numFmt numFmtId="229" formatCode="#,##0;\(#,##0\)"/>
    <numFmt numFmtId="230" formatCode="_ &quot;R&quot;\ * #,##0_ ;_ &quot;R&quot;\ * \-#,##0_ ;_ &quot;R&quot;\ * &quot;-&quot;_ ;_ @_ "/>
    <numFmt numFmtId="231" formatCode="\t0.00%"/>
    <numFmt numFmtId="232" formatCode="_(\§\g\ #,##0_);_(\§\g\ \(#,##0\);_(\§\g\ &quot;-&quot;??_);_(@_)"/>
    <numFmt numFmtId="233" formatCode="_(\§\g\ #,##0_);_(\§\g\ \(#,##0\);_(\§\g\ &quot;-&quot;_);_(@_)"/>
    <numFmt numFmtId="234" formatCode="\t#\ ??/??"/>
    <numFmt numFmtId="235" formatCode="\§\g#,##0_);\(\§\g#,##0\)"/>
    <numFmt numFmtId="236" formatCode="_-&quot;VND&quot;* #,##0_-;\-&quot;VND&quot;* #,##0_-;_-&quot;VND&quot;* &quot;-&quot;_-;_-@_-"/>
    <numFmt numFmtId="237" formatCode="_(&quot;Rp&quot;* #,##0.00_);_(&quot;Rp&quot;* \(#,##0.00\);_(&quot;Rp&quot;* &quot;-&quot;??_);_(@_)"/>
    <numFmt numFmtId="238" formatCode="#,##0.00\ &quot;FB&quot;;[Red]\-#,##0.00\ &quot;FB&quot;"/>
    <numFmt numFmtId="239" formatCode="#,##0\ &quot;$&quot;;\-#,##0\ &quot;$&quot;"/>
    <numFmt numFmtId="240" formatCode="&quot;$&quot;#,##0;\-&quot;$&quot;#,##0"/>
    <numFmt numFmtId="241" formatCode="_-* #,##0\ _F_B_-;\-* #,##0\ _F_B_-;_-* &quot;-&quot;\ _F_B_-;_-@_-"/>
    <numFmt numFmtId="242" formatCode="#,##0.\½"/>
    <numFmt numFmtId="243" formatCode="_ * #,##0.00_)_d_ ;_ * \(#,##0.00\)_d_ ;_ * &quot;-&quot;??_)_d_ ;_ @_ "/>
    <numFmt numFmtId="244" formatCode="#,##0_);\-#,##0_)"/>
    <numFmt numFmtId="245" formatCode="0."/>
    <numFmt numFmtId="246" formatCode="#."/>
    <numFmt numFmtId="247" formatCode="#,##0\ &quot;$&quot;_);\(#,##0\ &quot;$&quot;\)"/>
    <numFmt numFmtId="248" formatCode="_-&quot;IR£&quot;* #,##0.00_-;\-&quot;IR£&quot;* #,##0.00_-;_-&quot;IR£&quot;* &quot;-&quot;??_-;_-@_-"/>
    <numFmt numFmtId="249" formatCode="&quot;£&quot;#,##0;[Red]\-&quot;£&quot;#,##0"/>
    <numFmt numFmtId="250" formatCode="#,###"/>
    <numFmt numFmtId="251" formatCode="_-&quot;₫&quot;* #,##0_-;\-&quot;₫&quot;* #,##0_-;_-&quot;₫&quot;* &quot;-&quot;_-;_-@_-"/>
    <numFmt numFmtId="252" formatCode="_-&quot;₫&quot;* #,##0.00_-;\-&quot;₫&quot;* #,##0.00_-;_-&quot;₫&quot;* &quot;-&quot;??_-;_-@_-"/>
    <numFmt numFmtId="253" formatCode="&quot;\&quot;#,##0;[Red]\-&quot;\&quot;#,##0"/>
    <numFmt numFmtId="254" formatCode="&quot;\&quot;#,##0.00;\-&quot;\&quot;#,##0.00"/>
    <numFmt numFmtId="255" formatCode="&quot;$&quot;#,##0.000;\(&quot;$&quot;#,##0.000\)"/>
    <numFmt numFmtId="256" formatCode="#,##0.00_);\-#,##0.00_)"/>
    <numFmt numFmtId="257" formatCode="_(* #,##0,_);_(* \(#,##0,\);_(* &quot;-&quot;_);_(@_)"/>
    <numFmt numFmtId="258" formatCode="d"/>
    <numFmt numFmtId="259" formatCode="#"/>
    <numFmt numFmtId="260" formatCode="&quot;¡Ì&quot;#,##0;[Red]\-&quot;¡Ì&quot;#,##0"/>
    <numFmt numFmtId="261" formatCode="_-* #,##0.0\ _F_-;\-* #,##0.0\ _F_-;_-* &quot;-&quot;??\ _F_-;_-@_-"/>
    <numFmt numFmtId="262" formatCode="#,##0.00\ &quot;F&quot;;[Red]\-#,##0.00\ &quot;F&quot;"/>
    <numFmt numFmtId="263" formatCode="&quot;.&quot;#,##0.00_);[Red]\(&quot;.&quot;#,##0.00\)"/>
    <numFmt numFmtId="264" formatCode="_-&quot;£&quot;* #,##0_-;\-&quot;£&quot;* #,##0_-;_-&quot;£&quot;* &quot;-&quot;_-;_-@_-"/>
    <numFmt numFmtId="265" formatCode="_-* ###,0&quot;.&quot;00\ _F_B_-;\-* ###,0&quot;.&quot;00\ _F_B_-;_-* &quot;-&quot;??\ _F_B_-;_-@_-"/>
    <numFmt numFmtId="266" formatCode="_-&quot;$&quot;* #,##0.00_-;_-&quot;$&quot;* #,##0.00\-;_-&quot;$&quot;* &quot;-&quot;??_-;_-@_-"/>
    <numFmt numFmtId="267" formatCode="0.00000"/>
    <numFmt numFmtId="268" formatCode="#,##0.00\ \ "/>
    <numFmt numFmtId="269" formatCode="0.00000000000E+00;\?"/>
    <numFmt numFmtId="270" formatCode="#,##0.00\ \ \ \ "/>
    <numFmt numFmtId="271" formatCode="_(* #.##0.00_);_(* \(#.##0.00\);_(* &quot;-&quot;??_);_(@_)"/>
    <numFmt numFmtId="272" formatCode="&quot;R$&quot;#,##0.00_);[Red]\(&quot;R$&quot;#,##0.00\)"/>
    <numFmt numFmtId="273" formatCode="#,##0\ &quot;F&quot;;\-#,##0\ &quot;F&quot;"/>
    <numFmt numFmtId="274" formatCode="_ * #.##._ ;_ * \-#.##._ ;_ * &quot;-&quot;??_ ;_ @_ⴆ"/>
    <numFmt numFmtId="275" formatCode="0000"/>
    <numFmt numFmtId="276" formatCode="_-* ###,0&quot;.&quot;00_-;\-* ###,0&quot;.&quot;00_-;_-* &quot;-&quot;??_-;_-@_-"/>
    <numFmt numFmtId="277" formatCode="_-* #,##0\ _F_-;\-* #,##0\ _F_-;_-* &quot;-&quot;??\ _F_-;_-@_-"/>
    <numFmt numFmtId="278" formatCode="00"/>
    <numFmt numFmtId="279" formatCode="000"/>
    <numFmt numFmtId="280" formatCode="_-&quot;$&quot;* ###,0&quot;.&quot;00_-;\-&quot;$&quot;* ###,0&quot;.&quot;00_-;_-&quot;$&quot;* &quot;-&quot;??_-;_-@_-"/>
    <numFmt numFmtId="281" formatCode="#,###,###.00"/>
    <numFmt numFmtId="282" formatCode="#,###,###,###.00"/>
    <numFmt numFmtId="283" formatCode="_-* #,##0\ &quot;DM&quot;_-;\-* #,##0\ &quot;DM&quot;_-;_-* &quot;-&quot;\ &quot;DM&quot;_-;_-@_-"/>
    <numFmt numFmtId="284" formatCode="_-* #,##0.00\ &quot;DM&quot;_-;\-* #,##0.00\ &quot;DM&quot;_-;_-* &quot;-&quot;??\ &quot;DM&quot;_-;_-@_-"/>
    <numFmt numFmtId="285" formatCode="_ &quot;\&quot;* #,##0_ ;_ &quot;\&quot;* &quot;\&quot;\!\-#,##0_ ;_ &quot;\&quot;* &quot;-&quot;_ ;_ @_ "/>
    <numFmt numFmtId="286" formatCode="_ &quot;\&quot;* #,##0.00_ ;_ &quot;\&quot;* &quot;\&quot;\!\-#,##0.00_ ;_ &quot;\&quot;* &quot;-&quot;??_ ;_ @_ "/>
    <numFmt numFmtId="287" formatCode="_-* #,##0.00000\ _€_-;\-* #,##0.00000\ _€_-;_-* &quot;-&quot;??\ _€_-;_-@_-"/>
    <numFmt numFmtId="288" formatCode="_-* #,##0.000000\ _€_-;\-* #,##0.000000\ _€_-;_-* &quot;-&quot;??\ _€_-;_-@_-"/>
    <numFmt numFmtId="289" formatCode="_-* #,##0.000\ _₫_-;\-* #,##0.000\ _₫_-;_-* &quot;-&quot;??\ _₫_-;_-@_-"/>
  </numFmts>
  <fonts count="271">
    <font>
      <sz val="10"/>
      <name val="Arial"/>
      <family val="0"/>
    </font>
    <font>
      <sz val="10"/>
      <name val="Times New Roman"/>
      <family val="1"/>
    </font>
    <font>
      <sz val="12"/>
      <name val="Times New Roman"/>
      <family val="1"/>
    </font>
    <font>
      <b/>
      <sz val="10"/>
      <color indexed="8"/>
      <name val="Times New Roman"/>
      <family val="1"/>
    </font>
    <font>
      <i/>
      <sz val="10"/>
      <color indexed="8"/>
      <name val="Times New Roman"/>
      <family val="1"/>
    </font>
    <font>
      <sz val="10"/>
      <color indexed="8"/>
      <name val="Times New Roman"/>
      <family val="1"/>
    </font>
    <font>
      <sz val="8"/>
      <name val="Arial"/>
      <family val="2"/>
    </font>
    <font>
      <b/>
      <sz val="12"/>
      <color indexed="8"/>
      <name val="Times New Roman"/>
      <family val="1"/>
    </font>
    <font>
      <i/>
      <sz val="12"/>
      <color indexed="8"/>
      <name val="Times New Roman"/>
      <family val="1"/>
    </font>
    <font>
      <sz val="12"/>
      <color indexed="8"/>
      <name val="Times New Roman"/>
      <family val="1"/>
    </font>
    <font>
      <b/>
      <i/>
      <sz val="12"/>
      <color indexed="8"/>
      <name val="Times New Roman"/>
      <family val="1"/>
    </font>
    <font>
      <sz val="11"/>
      <name val="Times New Roman"/>
      <family val="1"/>
    </font>
    <font>
      <b/>
      <sz val="11"/>
      <name val="Times New Roman"/>
      <family val="1"/>
    </font>
    <font>
      <b/>
      <sz val="10"/>
      <name val="Times New Roman"/>
      <family val="1"/>
    </font>
    <font>
      <i/>
      <sz val="10"/>
      <name val="Times New Roman"/>
      <family val="1"/>
    </font>
    <font>
      <sz val="14"/>
      <name val="Times New Roman"/>
      <family val="1"/>
    </font>
    <font>
      <sz val="8"/>
      <name val="Times New Roman"/>
      <family val="1"/>
    </font>
    <font>
      <i/>
      <sz val="12"/>
      <name val="Times New Roman"/>
      <family val="1"/>
    </font>
    <font>
      <b/>
      <i/>
      <sz val="12"/>
      <name val="Times New Roman"/>
      <family val="1"/>
    </font>
    <font>
      <b/>
      <sz val="12"/>
      <name val="Times New Roman"/>
      <family val="1"/>
    </font>
    <font>
      <sz val="12"/>
      <name val=".VnTime"/>
      <family val="2"/>
    </font>
    <font>
      <b/>
      <sz val="8"/>
      <name val="Times New Roman"/>
      <family val="1"/>
    </font>
    <font>
      <b/>
      <sz val="10"/>
      <name val="Arial"/>
      <family val="2"/>
    </font>
    <font>
      <sz val="5"/>
      <name val="Times New Roman"/>
      <family val="1"/>
    </font>
    <font>
      <sz val="10"/>
      <name val="Helv"/>
      <family val="2"/>
    </font>
    <font>
      <b/>
      <i/>
      <sz val="10"/>
      <name val="Arial"/>
      <family val="2"/>
    </font>
    <font>
      <i/>
      <sz val="11"/>
      <name val="Times New Roman"/>
      <family val="1"/>
    </font>
    <font>
      <b/>
      <sz val="14"/>
      <name val="Times New Roman"/>
      <family val="1"/>
    </font>
    <font>
      <b/>
      <sz val="13"/>
      <color indexed="12"/>
      <name val="Times New Roman"/>
      <family val="1"/>
    </font>
    <font>
      <b/>
      <sz val="13"/>
      <color indexed="8"/>
      <name val="Times New Roman"/>
      <family val="1"/>
    </font>
    <font>
      <b/>
      <sz val="13"/>
      <name val="Times New Roman"/>
      <family val="1"/>
    </font>
    <font>
      <b/>
      <i/>
      <sz val="14"/>
      <name val="Times New Roman"/>
      <family val="1"/>
    </font>
    <font>
      <i/>
      <sz val="14"/>
      <name val="Times New Roman"/>
      <family val="1"/>
    </font>
    <font>
      <b/>
      <sz val="14"/>
      <color indexed="8"/>
      <name val="Times New Roman"/>
      <family val="1"/>
    </font>
    <font>
      <i/>
      <sz val="14"/>
      <color indexed="8"/>
      <name val="Times New Roman"/>
      <family val="1"/>
    </font>
    <font>
      <b/>
      <sz val="14"/>
      <color indexed="12"/>
      <name val="Times New Roman"/>
      <family val="1"/>
    </font>
    <font>
      <b/>
      <sz val="9"/>
      <color indexed="8"/>
      <name val="Times New Roman"/>
      <family val="1"/>
    </font>
    <font>
      <sz val="9"/>
      <name val="Times New Roman"/>
      <family val="1"/>
    </font>
    <font>
      <b/>
      <sz val="10"/>
      <color indexed="12"/>
      <name val="Times New Roman"/>
      <family val="1"/>
    </font>
    <font>
      <sz val="10"/>
      <color indexed="12"/>
      <name val="Times New Roman"/>
      <family val="1"/>
    </font>
    <font>
      <sz val="13"/>
      <name val=".VnTime"/>
      <family val="2"/>
    </font>
    <font>
      <b/>
      <sz val="7"/>
      <name val="Times New Roman"/>
      <family val="1"/>
    </font>
    <font>
      <sz val="11"/>
      <color indexed="8"/>
      <name val="Calibri"/>
      <family val="2"/>
    </font>
    <font>
      <sz val="12"/>
      <name val="Arial"/>
      <family val="2"/>
    </font>
    <font>
      <b/>
      <i/>
      <sz val="10"/>
      <color indexed="8"/>
      <name val="Times New Roman"/>
      <family val="1"/>
    </font>
    <font>
      <sz val="10"/>
      <color indexed="10"/>
      <name val="Times New Roman"/>
      <family val="1"/>
    </font>
    <font>
      <b/>
      <sz val="12"/>
      <color indexed="12"/>
      <name val="Times New Roman"/>
      <family val="1"/>
    </font>
    <font>
      <i/>
      <sz val="9"/>
      <name val="Times New Roman"/>
      <family val="1"/>
    </font>
    <font>
      <b/>
      <sz val="8"/>
      <name val="Arial"/>
      <family val="2"/>
    </font>
    <font>
      <b/>
      <sz val="8"/>
      <color indexed="8"/>
      <name val="Times New Roman"/>
      <family val="1"/>
    </font>
    <font>
      <b/>
      <sz val="12"/>
      <name val="Arial"/>
      <family val="2"/>
    </font>
    <font>
      <b/>
      <sz val="11"/>
      <color indexed="8"/>
      <name val="Times New Roman"/>
      <family val="1"/>
    </font>
    <font>
      <sz val="11"/>
      <color indexed="8"/>
      <name val="Times New Roman"/>
      <family val="1"/>
    </font>
    <font>
      <sz val="13"/>
      <color indexed="8"/>
      <name val="Times New Roman"/>
      <family val="1"/>
    </font>
    <font>
      <b/>
      <sz val="9"/>
      <name val="Times New Roman"/>
      <family val="1"/>
    </font>
    <font>
      <sz val="13"/>
      <name val="Times New Roman"/>
      <family val="1"/>
    </font>
    <font>
      <b/>
      <i/>
      <sz val="9"/>
      <name val="Times New Roman"/>
      <family val="1"/>
    </font>
    <font>
      <sz val="7"/>
      <name val="Times New Roman"/>
      <family val="1"/>
    </font>
    <font>
      <sz val="7"/>
      <name val="Arial"/>
      <family val="2"/>
    </font>
    <font>
      <b/>
      <sz val="18"/>
      <color indexed="56"/>
      <name val="Cambria"/>
      <family val="2"/>
    </font>
    <font>
      <b/>
      <sz val="12"/>
      <name val="Helv"/>
      <family val="2"/>
    </font>
    <font>
      <sz val="12"/>
      <color indexed="9"/>
      <name val="Times New Roman"/>
      <family val="1"/>
    </font>
    <font>
      <b/>
      <sz val="12"/>
      <color indexed="30"/>
      <name val="Times New Roman"/>
      <family val="1"/>
    </font>
    <font>
      <sz val="12"/>
      <color indexed="30"/>
      <name val="Times New Roman"/>
      <family val="1"/>
    </font>
    <font>
      <i/>
      <sz val="12"/>
      <color indexed="9"/>
      <name val="Times New Roman"/>
      <family val="1"/>
    </font>
    <font>
      <b/>
      <sz val="13"/>
      <color indexed="30"/>
      <name val="Times New Roman"/>
      <family val="1"/>
    </font>
    <font>
      <sz val="10"/>
      <color indexed="8"/>
      <name val="Arial"/>
      <family val="2"/>
    </font>
    <font>
      <sz val="14"/>
      <color indexed="8"/>
      <name val="Times New Roman"/>
      <family val="2"/>
    </font>
    <font>
      <sz val="10"/>
      <name val=".VnTime"/>
      <family val="2"/>
    </font>
    <font>
      <b/>
      <sz val="11"/>
      <color indexed="8"/>
      <name val="Calibri"/>
      <family val="2"/>
    </font>
    <font>
      <sz val="12"/>
      <name val="VNI-Times"/>
      <family val="0"/>
    </font>
    <font>
      <sz val="10"/>
      <name val="Arial MT"/>
      <family val="2"/>
    </font>
    <font>
      <sz val="10"/>
      <color indexed="8"/>
      <name val="MS Sans Serif"/>
      <family val="2"/>
    </font>
    <font>
      <sz val="12"/>
      <name val="돋움체"/>
      <family val="3"/>
    </font>
    <font>
      <sz val="12"/>
      <name val="VNtimes new roman"/>
      <family val="2"/>
    </font>
    <font>
      <sz val="12"/>
      <name val="????"/>
      <family val="0"/>
    </font>
    <font>
      <sz val="10"/>
      <name val="AngsanaUPC"/>
      <family val="1"/>
    </font>
    <font>
      <sz val="11"/>
      <name val="VNHelvet"/>
      <family val="0"/>
    </font>
    <font>
      <sz val="12"/>
      <name val=".VnArial"/>
      <family val="2"/>
    </font>
    <font>
      <sz val="10"/>
      <name val="??"/>
      <family val="3"/>
    </font>
    <font>
      <sz val="12"/>
      <name val="Courier"/>
      <family val="3"/>
    </font>
    <font>
      <sz val="12"/>
      <name val="|??¢¥¢¬¨Ï"/>
      <family val="1"/>
    </font>
    <font>
      <sz val="14"/>
      <name val="뼻뮝"/>
      <family val="3"/>
    </font>
    <font>
      <sz val="10"/>
      <name val="VNI-Times"/>
      <family val="0"/>
    </font>
    <font>
      <sz val="10"/>
      <name val="MS Sans Serif"/>
      <family val="2"/>
    </font>
    <font>
      <sz val="12"/>
      <name val="VNTime"/>
      <family val="0"/>
    </font>
    <font>
      <sz val="9"/>
      <name val="Arial"/>
      <family val="2"/>
    </font>
    <font>
      <sz val="12"/>
      <name val="???"/>
      <family val="0"/>
    </font>
    <font>
      <sz val="11"/>
      <name val="3C_Times_T"/>
      <family val="0"/>
    </font>
    <font>
      <sz val="12"/>
      <name val="바탕체"/>
      <family val="1"/>
    </font>
    <font>
      <sz val="14"/>
      <name val="Terminal"/>
      <family val="3"/>
    </font>
    <font>
      <sz val="14"/>
      <name val="VnTime"/>
      <family val="0"/>
    </font>
    <font>
      <sz val="13"/>
      <name val="Tms Rmn"/>
      <family val="1"/>
    </font>
    <font>
      <b/>
      <sz val="13"/>
      <name val=".VnArial NarrowH"/>
      <family val="2"/>
    </font>
    <font>
      <b/>
      <u val="single"/>
      <sz val="14"/>
      <color indexed="8"/>
      <name val=".VnBook-AntiquaH"/>
      <family val="2"/>
    </font>
    <font>
      <sz val="11"/>
      <name val=".VnTime"/>
      <family val="2"/>
    </font>
    <font>
      <b/>
      <u val="single"/>
      <sz val="10"/>
      <name val="VNI-Times"/>
      <family val="0"/>
    </font>
    <font>
      <b/>
      <sz val="10"/>
      <name val=".VnArial"/>
      <family val="2"/>
    </font>
    <font>
      <sz val="12"/>
      <color indexed="10"/>
      <name val=".VnArial Narrow"/>
      <family val="2"/>
    </font>
    <font>
      <sz val="12"/>
      <color indexed="8"/>
      <name val="¹ÙÅÁÃ¼"/>
      <family val="1"/>
    </font>
    <font>
      <i/>
      <sz val="12"/>
      <color indexed="8"/>
      <name val=".VnBook-AntiquaH"/>
      <family val="2"/>
    </font>
    <font>
      <b/>
      <sz val="12"/>
      <color indexed="8"/>
      <name val=".VnBook-Antiqua"/>
      <family val="2"/>
    </font>
    <font>
      <sz val="12"/>
      <name val="Arial Cyr"/>
      <family val="0"/>
    </font>
    <font>
      <i/>
      <sz val="12"/>
      <color indexed="8"/>
      <name val=".VnBook-Antiqua"/>
      <family val="2"/>
    </font>
    <font>
      <sz val="12"/>
      <name val="¹UAAA¼"/>
      <family val="3"/>
    </font>
    <font>
      <sz val="11"/>
      <color indexed="9"/>
      <name val="Calibri"/>
      <family val="2"/>
    </font>
    <font>
      <sz val="14"/>
      <name val=".VnTime"/>
      <family val="2"/>
    </font>
    <font>
      <b/>
      <sz val="12"/>
      <color indexed="63"/>
      <name val="VNI-Times"/>
      <family val="0"/>
    </font>
    <font>
      <sz val="12"/>
      <name val="¹ÙÅÁÃ¼"/>
      <family val="0"/>
    </font>
    <font>
      <sz val="11"/>
      <color indexed="20"/>
      <name val="Calibri"/>
      <family val="2"/>
    </font>
    <font>
      <b/>
      <i/>
      <sz val="14"/>
      <name val="VNTime"/>
      <family val="2"/>
    </font>
    <font>
      <sz val="12"/>
      <name val="Tms Rmn"/>
      <family val="0"/>
    </font>
    <font>
      <sz val="11"/>
      <name val="µ¸¿ò"/>
      <family val="0"/>
    </font>
    <font>
      <sz val="10"/>
      <name val="±¼¸²A¼"/>
      <family val="3"/>
    </font>
    <font>
      <b/>
      <sz val="11"/>
      <color indexed="52"/>
      <name val="Calibri"/>
      <family val="2"/>
    </font>
    <font>
      <b/>
      <sz val="10"/>
      <name val="Helv"/>
      <family val="0"/>
    </font>
    <font>
      <b/>
      <sz val="13"/>
      <name val="Tms Rmn"/>
      <family val="1"/>
    </font>
    <font>
      <sz val="11"/>
      <name val="UVnTime"/>
      <family val="2"/>
    </font>
    <font>
      <sz val="11"/>
      <color indexed="8"/>
      <name val=".VnTime"/>
      <family val="2"/>
    </font>
    <font>
      <b/>
      <sz val="12"/>
      <name val="VNTime"/>
      <family val="2"/>
    </font>
    <font>
      <sz val="10"/>
      <name val="MS Serif"/>
      <family val="1"/>
    </font>
    <font>
      <sz val="10"/>
      <name val="Courier"/>
      <family val="3"/>
    </font>
    <font>
      <sz val="10"/>
      <name val=".VnArial"/>
      <family val="2"/>
    </font>
    <font>
      <b/>
      <sz val="11"/>
      <color indexed="9"/>
      <name val="Calibri"/>
      <family val="2"/>
    </font>
    <font>
      <sz val="10"/>
      <name val="VNI-Aptima"/>
      <family val="0"/>
    </font>
    <font>
      <b/>
      <sz val="11"/>
      <name val="VNTimeH"/>
      <family val="2"/>
    </font>
    <font>
      <sz val="10"/>
      <name val="Arial CE"/>
      <family val="0"/>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amily val="0"/>
    </font>
    <font>
      <b/>
      <sz val="12"/>
      <name val="Tahoma"/>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b/>
      <sz val="8"/>
      <name val="MS Sans Serif"/>
      <family val="2"/>
    </font>
    <font>
      <b/>
      <sz val="10"/>
      <name val=".VnTime"/>
      <family val="2"/>
    </font>
    <font>
      <b/>
      <sz val="14"/>
      <name val=".VnTimeH"/>
      <family val="2"/>
    </font>
    <font>
      <sz val="12"/>
      <name val="±¼¸²Ã¼"/>
      <family val="3"/>
    </font>
    <font>
      <sz val="10"/>
      <name val="Tahoma"/>
      <family val="2"/>
    </font>
    <font>
      <sz val="11"/>
      <color indexed="62"/>
      <name val="Calibri"/>
      <family val="2"/>
    </font>
    <font>
      <u val="single"/>
      <sz val="10"/>
      <color indexed="12"/>
      <name val=".VnTime"/>
      <family val="2"/>
    </font>
    <font>
      <u val="single"/>
      <sz val="12"/>
      <color indexed="12"/>
      <name val=".VnTime"/>
      <family val="2"/>
    </font>
    <font>
      <u val="single"/>
      <sz val="12"/>
      <color indexed="12"/>
      <name val="Arial"/>
      <family val="2"/>
    </font>
    <font>
      <sz val="16"/>
      <name val="VNI-Times"/>
      <family val="0"/>
    </font>
    <font>
      <sz val="11"/>
      <color indexed="52"/>
      <name val="Calibri"/>
      <family val="2"/>
    </font>
    <font>
      <sz val="8"/>
      <name val="VNarial"/>
      <family val="2"/>
    </font>
    <font>
      <b/>
      <sz val="11"/>
      <name val="Helv"/>
      <family val="0"/>
    </font>
    <font>
      <sz val="10"/>
      <name val=".VnAvant"/>
      <family val="2"/>
    </font>
    <font>
      <b/>
      <i/>
      <sz val="12"/>
      <name val=".VnAristote"/>
      <family val="2"/>
    </font>
    <font>
      <sz val="11"/>
      <color indexed="60"/>
      <name val="Calibri"/>
      <family val="2"/>
    </font>
    <font>
      <sz val="7"/>
      <name val="Small Fonts"/>
      <family val="2"/>
    </font>
    <font>
      <b/>
      <sz val="12"/>
      <name val="VN-NTime"/>
      <family val="0"/>
    </font>
    <font>
      <sz val="11"/>
      <color indexed="8"/>
      <name val="Helvetica Neue"/>
      <family val="0"/>
    </font>
    <font>
      <sz val="12"/>
      <name val=".VnArial Narrow"/>
      <family val="2"/>
    </font>
    <font>
      <sz val="11"/>
      <name val="VNI-Aptima"/>
      <family val="0"/>
    </font>
    <font>
      <sz val="11"/>
      <name val="–¾’©"/>
      <family val="1"/>
    </font>
    <font>
      <b/>
      <sz val="11"/>
      <name val="Arial"/>
      <family val="2"/>
    </font>
    <font>
      <b/>
      <sz val="11"/>
      <color indexed="63"/>
      <name val="Calibri"/>
      <family val="2"/>
    </font>
    <font>
      <sz val="14"/>
      <name val=".VnArial Narrow"/>
      <family val="2"/>
    </font>
    <font>
      <sz val="10"/>
      <name val="Tms Rmn"/>
      <family val="1"/>
    </font>
    <font>
      <b/>
      <sz val="10"/>
      <name val="MS Sans Serif"/>
      <family val="2"/>
    </font>
    <font>
      <sz val="8"/>
      <name val="Wingdings"/>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0"/>
      <color indexed="12"/>
      <name val="Arial"/>
      <family val="2"/>
    </font>
    <font>
      <b/>
      <sz val="12"/>
      <name val="宋体"/>
      <family val="0"/>
    </font>
    <font>
      <sz val="8"/>
      <name val="MS Sans Serif"/>
      <family val="2"/>
    </font>
    <font>
      <b/>
      <sz val="10.5"/>
      <name val=".VnAvantH"/>
      <family val="2"/>
    </font>
    <font>
      <sz val="10"/>
      <name val="VNbook-Antiqua"/>
      <family val="0"/>
    </font>
    <font>
      <sz val="11"/>
      <color indexed="32"/>
      <name val="VNI-Times"/>
      <family val="0"/>
    </font>
    <font>
      <b/>
      <sz val="10"/>
      <name val="Tahoma"/>
      <family val="2"/>
    </font>
    <font>
      <b/>
      <sz val="8"/>
      <color indexed="8"/>
      <name val="Helv"/>
      <family val="2"/>
    </font>
    <font>
      <sz val="13"/>
      <name val=".VnArial"/>
      <family val="2"/>
    </font>
    <font>
      <b/>
      <sz val="10"/>
      <name val="VNI-Univer"/>
      <family val="0"/>
    </font>
    <font>
      <sz val="10"/>
      <name val=".VnBook-Antiqua"/>
      <family val="2"/>
    </font>
    <font>
      <b/>
      <sz val="12"/>
      <name val=".VnTime"/>
      <family val="2"/>
    </font>
    <font>
      <b/>
      <u val="double"/>
      <sz val="12"/>
      <color indexed="12"/>
      <name val=".VnBahamasB"/>
      <family val="2"/>
    </font>
    <font>
      <b/>
      <i/>
      <u val="single"/>
      <sz val="12"/>
      <name val=".VnTimeH"/>
      <family val="2"/>
    </font>
    <font>
      <sz val="10"/>
      <name val=".VnArial Narrow"/>
      <family val="2"/>
    </font>
    <font>
      <sz val="9.5"/>
      <name val=".VnBlackH"/>
      <family val="2"/>
    </font>
    <font>
      <b/>
      <sz val="10"/>
      <name val=".VnBahamasBH"/>
      <family val="2"/>
    </font>
    <font>
      <b/>
      <sz val="11"/>
      <name val=".VnArialH"/>
      <family val="2"/>
    </font>
    <font>
      <b/>
      <sz val="10"/>
      <name val=".VnArialH"/>
      <family val="2"/>
    </font>
    <font>
      <b/>
      <sz val="12"/>
      <name val="VNI-Times"/>
      <family val="0"/>
    </font>
    <font>
      <sz val="11"/>
      <name val=".VnAvant"/>
      <family val="2"/>
    </font>
    <font>
      <b/>
      <sz val="13"/>
      <color indexed="8"/>
      <name val=".VnTimeH"/>
      <family val="2"/>
    </font>
    <font>
      <sz val="10"/>
      <name val="VNtimes new roman"/>
      <family val="2"/>
    </font>
    <font>
      <sz val="8"/>
      <name val=".VnTime"/>
      <family val="2"/>
    </font>
    <font>
      <b/>
      <sz val="8"/>
      <name val="VN Helvetica"/>
      <family val="0"/>
    </font>
    <font>
      <sz val="8"/>
      <name val="VN Helvetica"/>
      <family val="0"/>
    </font>
    <font>
      <b/>
      <sz val="10"/>
      <name val="VN AvantGBook"/>
      <family val="0"/>
    </font>
    <font>
      <b/>
      <sz val="10"/>
      <name val="VN Helvetica"/>
      <family val="0"/>
    </font>
    <font>
      <b/>
      <sz val="16"/>
      <name val=".VnTime"/>
      <family val="2"/>
    </font>
    <font>
      <sz val="11"/>
      <color indexed="10"/>
      <name val="Calibri"/>
      <family val="2"/>
    </font>
    <font>
      <sz val="10"/>
      <name val="Geneva"/>
      <family val="2"/>
    </font>
    <font>
      <sz val="14"/>
      <name val=".VnArial"/>
      <family val="2"/>
    </font>
    <font>
      <sz val="22"/>
      <name val="ＭＳ 明朝"/>
      <family val="1"/>
    </font>
    <font>
      <sz val="10"/>
      <name val=" "/>
      <family val="1"/>
    </font>
    <font>
      <sz val="12"/>
      <color indexed="8"/>
      <name val="바탕체"/>
      <family val="3"/>
    </font>
    <font>
      <sz val="12"/>
      <name val="뼻뮝"/>
      <family val="3"/>
    </font>
    <font>
      <sz val="10"/>
      <name val="명조"/>
      <family val="3"/>
    </font>
    <font>
      <sz val="10"/>
      <name val="돋움체"/>
      <family val="3"/>
    </font>
    <font>
      <sz val="12"/>
      <name val="宋体"/>
      <family val="1"/>
    </font>
    <font>
      <u val="single"/>
      <sz val="10"/>
      <color indexed="14"/>
      <name val="MS Sans Serif"/>
      <family val="2"/>
    </font>
    <font>
      <u val="single"/>
      <sz val="9"/>
      <color indexed="36"/>
      <name val="新細明體"/>
      <family val="1"/>
    </font>
    <font>
      <sz val="12"/>
      <name val="新細明體"/>
      <family val="1"/>
    </font>
    <font>
      <sz val="10"/>
      <name val="ＭＳ Ｐゴシック"/>
      <family val="3"/>
    </font>
    <font>
      <u val="single"/>
      <sz val="10"/>
      <color indexed="12"/>
      <name val="MS Sans Serif"/>
      <family val="2"/>
    </font>
    <font>
      <u val="single"/>
      <sz val="9"/>
      <color indexed="12"/>
      <name val="新細明體"/>
      <family val="1"/>
    </font>
    <font>
      <u val="single"/>
      <sz val="12"/>
      <color indexed="12"/>
      <name val="新細明體"/>
      <family val="1"/>
    </font>
    <font>
      <u val="single"/>
      <sz val="12"/>
      <color indexed="36"/>
      <name val="新細明體"/>
      <family val="1"/>
    </font>
    <font>
      <b/>
      <sz val="9"/>
      <name val="Tahoma"/>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Arial"/>
      <family val="2"/>
    </font>
    <font>
      <b/>
      <sz val="12"/>
      <color indexed="63"/>
      <name val="Times New Roman"/>
      <family val="2"/>
    </font>
    <font>
      <sz val="12"/>
      <color indexed="10"/>
      <name val="Times New Roman"/>
      <family val="2"/>
    </font>
    <font>
      <b/>
      <sz val="10"/>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sz val="14"/>
      <color theme="1"/>
      <name val="Times New Roman"/>
      <family val="2"/>
    </font>
    <font>
      <sz val="10"/>
      <color rgb="FF000000"/>
      <name val="Arial"/>
      <family val="2"/>
    </font>
    <font>
      <sz val="12"/>
      <color theme="1"/>
      <name val="Arial"/>
      <family val="2"/>
    </font>
    <font>
      <sz val="11"/>
      <color theme="1"/>
      <name val="Arial"/>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2"/>
      <color rgb="FF0033CC"/>
      <name val="Times New Roman"/>
      <family val="1"/>
    </font>
    <font>
      <sz val="12"/>
      <color rgb="FF0033CC"/>
      <name val="Times New Roman"/>
      <family val="1"/>
    </font>
    <font>
      <sz val="10"/>
      <color theme="1"/>
      <name val="Times New Roman"/>
      <family val="1"/>
    </font>
    <font>
      <b/>
      <sz val="10"/>
      <color rgb="FFFF0000"/>
      <name val="Times New Roman"/>
      <family val="1"/>
    </font>
    <font>
      <b/>
      <sz val="10"/>
      <color theme="1"/>
      <name val="Times New Roman"/>
      <family val="1"/>
    </font>
  </fonts>
  <fills count="74">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3"/>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style="thin"/>
      <right style="thin"/>
      <top style="thin"/>
      <bottom style="thin"/>
    </border>
    <border>
      <left style="thin"/>
      <right style="thin"/>
      <top style="double"/>
      <bottom style="hair"/>
    </border>
    <border>
      <left>
        <color indexed="63"/>
      </left>
      <right>
        <color indexed="63"/>
      </right>
      <top>
        <color indexed="63"/>
      </top>
      <bottom style="hair"/>
    </border>
    <border>
      <left style="thin"/>
      <right>
        <color indexed="63"/>
      </right>
      <top>
        <color indexed="63"/>
      </top>
      <bottom>
        <color indexed="63"/>
      </bottom>
    </border>
    <border>
      <left/>
      <right/>
      <top style="double"/>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color indexed="63"/>
      </left>
      <right>
        <color indexed="63"/>
      </right>
      <top>
        <color indexed="63"/>
      </top>
      <bottom style="thin"/>
    </border>
    <border>
      <left/>
      <right style="double"/>
      <top/>
      <bottom/>
    </border>
    <border>
      <left style="thick"/>
      <right/>
      <top style="thick"/>
      <bottom/>
    </border>
    <border>
      <left/>
      <right style="thin"/>
      <top style="hair"/>
      <bottom style="hair"/>
    </border>
    <border>
      <left style="thin"/>
      <right style="thin"/>
      <top>
        <color indexed="63"/>
      </top>
      <bottom style="hair"/>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border>
    <border>
      <left style="thin"/>
      <right style="thin"/>
      <top style="thin">
        <color indexed="8"/>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hair"/>
    </border>
    <border>
      <left style="thin"/>
      <right style="thin"/>
      <top style="hair"/>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style="thin"/>
      <right style="thin"/>
      <top style="dotted"/>
      <bottom style="dotted"/>
    </border>
    <border>
      <left style="thin"/>
      <right>
        <color indexed="63"/>
      </right>
      <top style="thin"/>
      <bottom style="thin"/>
    </border>
    <border>
      <left style="thin"/>
      <right style="medium"/>
      <top style="medium"/>
      <bottom style="thin"/>
    </border>
    <border>
      <left/>
      <right style="medium">
        <color indexed="63"/>
      </right>
      <top/>
      <bottom/>
    </border>
    <border>
      <left style="thin"/>
      <right style="thin"/>
      <top style="thin"/>
      <bottom>
        <color indexed="63"/>
      </bottom>
    </border>
    <border>
      <left style="double"/>
      <right style="thin"/>
      <top style="double"/>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style="medium">
        <color indexed="9"/>
      </bottom>
    </border>
    <border>
      <left style="hair"/>
      <right/>
      <top/>
      <bottom/>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style="medium"/>
      <right style="thin"/>
      <top/>
      <bottom/>
    </border>
    <border>
      <left style="thin"/>
      <right style="thin"/>
      <top>
        <color indexed="63"/>
      </top>
      <bottom>
        <color indexed="63"/>
      </bottom>
    </border>
    <border>
      <left style="thin"/>
      <right style="thin"/>
      <top style="medium"/>
      <bottom/>
    </border>
    <border>
      <left style="thin"/>
      <right style="thin"/>
      <top style="hair"/>
      <bottom>
        <color indexed="63"/>
      </bottom>
    </border>
    <border>
      <left style="thin"/>
      <right style="thin"/>
      <top>
        <color indexed="63"/>
      </top>
      <bottom style="dotted"/>
    </border>
    <border>
      <left style="thin"/>
      <right style="thin"/>
      <top style="dotted"/>
      <bottom style="thin"/>
    </border>
    <border>
      <left style="thin"/>
      <right style="thin"/>
      <top style="hair"/>
      <bottom style="thin"/>
    </border>
    <border>
      <left style="thin"/>
      <right style="thin"/>
      <top style="dashed"/>
      <bottom style="dashed"/>
    </border>
    <border>
      <left style="thin"/>
      <right style="thin"/>
      <top style="dotted"/>
      <bottom style="hair"/>
    </border>
    <border>
      <left style="thin"/>
      <right style="thin"/>
      <top style="thin"/>
      <bottom style="dotted"/>
    </border>
    <border>
      <left style="thin"/>
      <right style="thin"/>
      <top style="thin"/>
      <bottom style="dashed"/>
    </border>
    <border>
      <left style="thin"/>
      <right style="thin"/>
      <top style="dashed"/>
      <bottom style="thin"/>
    </border>
    <border>
      <left style="thin"/>
      <right>
        <color indexed="63"/>
      </right>
      <top style="hair"/>
      <bottom style="hair"/>
    </border>
    <border>
      <left>
        <color indexed="63"/>
      </left>
      <right>
        <color indexed="63"/>
      </right>
      <top style="hair"/>
      <bottom style="hair"/>
    </border>
  </borders>
  <cellStyleXfs count="20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70" fillId="0" borderId="0" applyFont="0" applyFill="0" applyBorder="0" applyAlignment="0" applyProtection="0"/>
    <xf numFmtId="0" fontId="20" fillId="0" borderId="0" applyNumberFormat="0" applyFill="0" applyBorder="0" applyAlignment="0" applyProtection="0"/>
    <xf numFmtId="0" fontId="71" fillId="0" borderId="0">
      <alignment/>
      <protection/>
    </xf>
    <xf numFmtId="0" fontId="72" fillId="0" borderId="0">
      <alignment/>
      <protection/>
    </xf>
    <xf numFmtId="3" fontId="73" fillId="0" borderId="1">
      <alignment/>
      <protection/>
    </xf>
    <xf numFmtId="184" fontId="74" fillId="0" borderId="2" applyFont="0" applyBorder="0">
      <alignment/>
      <protection/>
    </xf>
    <xf numFmtId="0" fontId="68" fillId="0" borderId="0">
      <alignment/>
      <protection/>
    </xf>
    <xf numFmtId="195" fontId="75" fillId="0" borderId="0" applyFont="0" applyFill="0" applyBorder="0" applyAlignment="0" applyProtection="0"/>
    <xf numFmtId="0" fontId="76" fillId="0" borderId="0" applyFont="0" applyFill="0" applyBorder="0" applyAlignment="0" applyProtection="0"/>
    <xf numFmtId="196" fontId="77"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0" borderId="0" applyFont="0" applyFill="0" applyBorder="0" applyAlignment="0" applyProtection="0"/>
    <xf numFmtId="0" fontId="79" fillId="0" borderId="3">
      <alignment/>
      <protection/>
    </xf>
    <xf numFmtId="197" fontId="20"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8" fontId="80" fillId="0" borderId="0" applyFont="0" applyFill="0" applyBorder="0" applyAlignment="0" applyProtection="0"/>
    <xf numFmtId="0" fontId="7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1" fillId="0" borderId="0">
      <alignment/>
      <protection/>
    </xf>
    <xf numFmtId="40" fontId="82" fillId="0" borderId="0" applyFont="0" applyFill="0" applyBorder="0" applyAlignment="0" applyProtection="0"/>
    <xf numFmtId="38" fontId="82" fillId="0" borderId="0" applyFont="0" applyFill="0" applyBorder="0" applyAlignment="0" applyProtection="0"/>
    <xf numFmtId="0" fontId="0" fillId="0" borderId="0" applyNumberFormat="0" applyFill="0" applyBorder="0" applyAlignment="0" applyProtection="0"/>
    <xf numFmtId="192" fontId="20" fillId="0" borderId="0" applyFont="0" applyFill="0" applyBorder="0" applyAlignment="0" applyProtection="0"/>
    <xf numFmtId="0" fontId="0" fillId="0" borderId="0">
      <alignment/>
      <protection/>
    </xf>
    <xf numFmtId="42" fontId="83" fillId="0" borderId="0" applyFont="0" applyFill="0" applyBorder="0" applyAlignment="0" applyProtection="0"/>
    <xf numFmtId="0" fontId="84" fillId="0" borderId="0">
      <alignment/>
      <protection/>
    </xf>
    <xf numFmtId="0" fontId="78" fillId="0" borderId="0">
      <alignment/>
      <protection/>
    </xf>
    <xf numFmtId="0" fontId="85" fillId="0" borderId="0">
      <alignment/>
      <protection/>
    </xf>
    <xf numFmtId="199" fontId="20"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42" fontId="83" fillId="0" borderId="0" applyFont="0" applyFill="0" applyBorder="0" applyAlignment="0" applyProtection="0"/>
    <xf numFmtId="0" fontId="2" fillId="0" borderId="0">
      <alignment/>
      <protection/>
    </xf>
    <xf numFmtId="0" fontId="84" fillId="0" borderId="0">
      <alignment/>
      <protection/>
    </xf>
    <xf numFmtId="0" fontId="84" fillId="0" borderId="0">
      <alignment/>
      <protection/>
    </xf>
    <xf numFmtId="0" fontId="24" fillId="0" borderId="0">
      <alignment/>
      <protection/>
    </xf>
    <xf numFmtId="0" fontId="66" fillId="0" borderId="0">
      <alignment vertical="top"/>
      <protection/>
    </xf>
    <xf numFmtId="0" fontId="84" fillId="0" borderId="0">
      <alignment/>
      <protection/>
    </xf>
    <xf numFmtId="0" fontId="2" fillId="0" borderId="0">
      <alignment/>
      <protection/>
    </xf>
    <xf numFmtId="0" fontId="68" fillId="0" borderId="0" applyNumberFormat="0" applyFill="0" applyBorder="0" applyAlignment="0" applyProtection="0"/>
    <xf numFmtId="42" fontId="83" fillId="0" borderId="0" applyFont="0" applyFill="0" applyBorder="0" applyAlignment="0" applyProtection="0"/>
    <xf numFmtId="0" fontId="84" fillId="0" borderId="0">
      <alignment/>
      <protection/>
    </xf>
    <xf numFmtId="0" fontId="84" fillId="0" borderId="0">
      <alignment/>
      <protection/>
    </xf>
    <xf numFmtId="0" fontId="84" fillId="0" borderId="0">
      <alignment/>
      <protection/>
    </xf>
    <xf numFmtId="0" fontId="84" fillId="0" borderId="0">
      <alignment/>
      <protection/>
    </xf>
    <xf numFmtId="0" fontId="68" fillId="0" borderId="0" applyNumberFormat="0" applyFill="0" applyBorder="0" applyAlignment="0" applyProtection="0"/>
    <xf numFmtId="0" fontId="84"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4" fillId="0" borderId="0">
      <alignment/>
      <protection/>
    </xf>
    <xf numFmtId="0" fontId="2" fillId="0" borderId="0">
      <alignment/>
      <protection/>
    </xf>
    <xf numFmtId="0" fontId="24"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24" fillId="0" borderId="0">
      <alignment/>
      <protection/>
    </xf>
    <xf numFmtId="0" fontId="24" fillId="0" borderId="0">
      <alignment/>
      <protection/>
    </xf>
    <xf numFmtId="0" fontId="66" fillId="0" borderId="0">
      <alignment vertical="top"/>
      <protection/>
    </xf>
    <xf numFmtId="42" fontId="83" fillId="0" borderId="0" applyFont="0" applyFill="0" applyBorder="0" applyAlignment="0" applyProtection="0"/>
    <xf numFmtId="0" fontId="2" fillId="0" borderId="0">
      <alignment/>
      <protection/>
    </xf>
    <xf numFmtId="0" fontId="2" fillId="0" borderId="0">
      <alignment/>
      <protection/>
    </xf>
    <xf numFmtId="0" fontId="84" fillId="0" borderId="0">
      <alignment/>
      <protection/>
    </xf>
    <xf numFmtId="0" fontId="24"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4" fillId="0" borderId="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84" fillId="0" borderId="0" applyFont="0" applyFill="0" applyBorder="0" applyAlignment="0" applyProtection="0"/>
    <xf numFmtId="0" fontId="84" fillId="0" borderId="0" applyFont="0" applyFill="0" applyBorder="0" applyAlignment="0" applyProtection="0"/>
    <xf numFmtId="0" fontId="84" fillId="0" borderId="0">
      <alignment/>
      <protection/>
    </xf>
    <xf numFmtId="0" fontId="2" fillId="0" borderId="0">
      <alignment/>
      <protection/>
    </xf>
    <xf numFmtId="0" fontId="24"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42" fontId="83" fillId="0" borderId="0" applyFont="0" applyFill="0" applyBorder="0" applyAlignment="0" applyProtection="0"/>
    <xf numFmtId="194" fontId="70" fillId="0" borderId="0" applyFont="0" applyFill="0" applyBorder="0" applyAlignment="0" applyProtection="0"/>
    <xf numFmtId="193" fontId="70" fillId="0" borderId="0" applyFont="0" applyFill="0" applyBorder="0" applyAlignment="0" applyProtection="0"/>
    <xf numFmtId="200"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3" fontId="83" fillId="0" borderId="0" applyFont="0" applyFill="0" applyBorder="0" applyAlignment="0" applyProtection="0"/>
    <xf numFmtId="201"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2" fontId="70" fillId="0" borderId="0" applyFont="0" applyFill="0" applyBorder="0" applyAlignment="0" applyProtection="0"/>
    <xf numFmtId="42" fontId="83" fillId="0" borderId="0" applyFont="0" applyFill="0" applyBorder="0" applyAlignment="0" applyProtection="0"/>
    <xf numFmtId="202" fontId="83" fillId="0" borderId="0" applyFont="0" applyFill="0" applyBorder="0" applyAlignment="0" applyProtection="0"/>
    <xf numFmtId="203" fontId="70" fillId="0" borderId="0" applyFont="0" applyFill="0" applyBorder="0" applyAlignment="0" applyProtection="0"/>
    <xf numFmtId="203" fontId="83" fillId="0" borderId="0" applyFont="0" applyFill="0" applyBorder="0" applyAlignment="0" applyProtection="0"/>
    <xf numFmtId="200"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3" fontId="83" fillId="0" borderId="0" applyFont="0" applyFill="0" applyBorder="0" applyAlignment="0" applyProtection="0"/>
    <xf numFmtId="201"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3" fontId="83" fillId="0" borderId="0" applyFont="0" applyFill="0" applyBorder="0" applyAlignment="0" applyProtection="0"/>
    <xf numFmtId="193" fontId="7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204"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199"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202" fontId="83" fillId="0" borderId="0" applyFont="0" applyFill="0" applyBorder="0" applyAlignment="0" applyProtection="0"/>
    <xf numFmtId="203" fontId="70" fillId="0" borderId="0" applyFont="0" applyFill="0" applyBorder="0" applyAlignment="0" applyProtection="0"/>
    <xf numFmtId="203" fontId="83" fillId="0" borderId="0" applyFont="0" applyFill="0" applyBorder="0" applyAlignment="0" applyProtection="0"/>
    <xf numFmtId="192" fontId="70" fillId="0" borderId="0" applyFont="0" applyFill="0" applyBorder="0" applyAlignment="0" applyProtection="0"/>
    <xf numFmtId="193" fontId="70" fillId="0" borderId="0" applyFont="0" applyFill="0" applyBorder="0" applyAlignment="0" applyProtection="0"/>
    <xf numFmtId="204"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199"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200"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3" fontId="83" fillId="0" borderId="0" applyFont="0" applyFill="0" applyBorder="0" applyAlignment="0" applyProtection="0"/>
    <xf numFmtId="201"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2" fontId="70" fillId="0" borderId="0" applyFont="0" applyFill="0" applyBorder="0" applyAlignment="0" applyProtection="0"/>
    <xf numFmtId="194" fontId="70"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4"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02" fontId="83" fillId="0" borderId="0" applyFont="0" applyFill="0" applyBorder="0" applyAlignment="0" applyProtection="0"/>
    <xf numFmtId="203" fontId="70" fillId="0" borderId="0" applyFont="0" applyFill="0" applyBorder="0" applyAlignment="0" applyProtection="0"/>
    <xf numFmtId="203" fontId="83" fillId="0" borderId="0" applyFont="0" applyFill="0" applyBorder="0" applyAlignment="0" applyProtection="0"/>
    <xf numFmtId="42" fontId="83" fillId="0" borderId="0" applyFont="0" applyFill="0" applyBorder="0" applyAlignment="0" applyProtection="0"/>
    <xf numFmtId="42" fontId="83" fillId="0" borderId="0" applyFont="0" applyFill="0" applyBorder="0" applyAlignment="0" applyProtection="0"/>
    <xf numFmtId="0" fontId="2" fillId="0" borderId="0">
      <alignment/>
      <protection/>
    </xf>
    <xf numFmtId="0" fontId="24" fillId="0" borderId="0">
      <alignment/>
      <protection/>
    </xf>
    <xf numFmtId="0" fontId="0" fillId="0" borderId="0">
      <alignment/>
      <protection/>
    </xf>
    <xf numFmtId="0" fontId="24" fillId="0" borderId="0">
      <alignment/>
      <protection/>
    </xf>
    <xf numFmtId="42" fontId="83" fillId="0" borderId="0" applyFont="0" applyFill="0" applyBorder="0" applyAlignment="0" applyProtection="0"/>
    <xf numFmtId="0" fontId="84" fillId="0" borderId="0">
      <alignment/>
      <protection/>
    </xf>
    <xf numFmtId="0" fontId="0" fillId="0" borderId="0">
      <alignment/>
      <protection/>
    </xf>
    <xf numFmtId="0" fontId="86" fillId="0" borderId="0">
      <alignment/>
      <protection/>
    </xf>
    <xf numFmtId="0" fontId="84" fillId="0" borderId="0" applyFont="0" applyFill="0" applyBorder="0" applyAlignment="0" applyProtection="0"/>
    <xf numFmtId="42" fontId="83" fillId="0" borderId="0" applyFont="0" applyFill="0" applyBorder="0" applyAlignment="0" applyProtection="0"/>
    <xf numFmtId="42" fontId="83" fillId="0" borderId="0" applyFont="0" applyFill="0" applyBorder="0" applyAlignment="0" applyProtection="0"/>
    <xf numFmtId="0" fontId="84" fillId="0" borderId="0" applyFont="0" applyFill="0" applyBorder="0" applyAlignment="0" applyProtection="0"/>
    <xf numFmtId="0" fontId="2" fillId="0" borderId="0">
      <alignment/>
      <protection/>
    </xf>
    <xf numFmtId="192" fontId="70" fillId="0" borderId="0" applyFont="0" applyFill="0" applyBorder="0" applyAlignment="0" applyProtection="0"/>
    <xf numFmtId="204"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199"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200"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3" fontId="83" fillId="0" borderId="0" applyFont="0" applyFill="0" applyBorder="0" applyAlignment="0" applyProtection="0"/>
    <xf numFmtId="201"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4" fontId="70" fillId="0" borderId="0" applyFont="0" applyFill="0" applyBorder="0" applyAlignment="0" applyProtection="0"/>
    <xf numFmtId="193" fontId="70" fillId="0" borderId="0" applyFont="0" applyFill="0" applyBorder="0" applyAlignment="0" applyProtection="0"/>
    <xf numFmtId="0" fontId="84" fillId="0" borderId="0" applyFont="0" applyFill="0" applyBorder="0" applyAlignment="0" applyProtection="0"/>
    <xf numFmtId="42" fontId="83" fillId="0" borderId="0" applyFont="0" applyFill="0" applyBorder="0" applyAlignment="0" applyProtection="0"/>
    <xf numFmtId="0" fontId="24" fillId="0" borderId="0">
      <alignment/>
      <protection/>
    </xf>
    <xf numFmtId="0" fontId="68" fillId="0" borderId="0" applyNumberFormat="0" applyFill="0" applyBorder="0" applyAlignment="0" applyProtection="0"/>
    <xf numFmtId="0" fontId="24"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42" fontId="83" fillId="0" borderId="0" applyFont="0" applyFill="0" applyBorder="0" applyAlignment="0" applyProtection="0"/>
    <xf numFmtId="0" fontId="66" fillId="0" borderId="0">
      <alignment vertical="top"/>
      <protection/>
    </xf>
    <xf numFmtId="0" fontId="66" fillId="0" borderId="0">
      <alignment vertical="top"/>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4"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205" fontId="87" fillId="0" borderId="0" applyFont="0" applyFill="0" applyBorder="0" applyAlignment="0" applyProtection="0"/>
    <xf numFmtId="206" fontId="78" fillId="0" borderId="0" applyFont="0" applyFill="0" applyBorder="0" applyAlignment="0" applyProtection="0"/>
    <xf numFmtId="6" fontId="80" fillId="0" borderId="0" applyFont="0" applyFill="0" applyBorder="0" applyAlignment="0" applyProtection="0"/>
    <xf numFmtId="195" fontId="86" fillId="0" borderId="0" applyFont="0" applyFill="0" applyBorder="0" applyAlignment="0" applyProtection="0"/>
    <xf numFmtId="194" fontId="86" fillId="0" borderId="0" applyFont="0" applyFill="0" applyBorder="0" applyAlignment="0" applyProtection="0"/>
    <xf numFmtId="6" fontId="80" fillId="0" borderId="0" applyFont="0" applyFill="0" applyBorder="0" applyAlignment="0" applyProtection="0"/>
    <xf numFmtId="195" fontId="86" fillId="0" borderId="0" applyFont="0" applyFill="0" applyBorder="0" applyAlignment="0" applyProtection="0"/>
    <xf numFmtId="176" fontId="88" fillId="0" borderId="0" applyFont="0" applyFill="0" applyBorder="0" applyAlignment="0" applyProtection="0"/>
    <xf numFmtId="180" fontId="68" fillId="0" borderId="0" applyFont="0" applyFill="0" applyBorder="0" applyAlignment="0" applyProtection="0"/>
    <xf numFmtId="207" fontId="68" fillId="0" borderId="0" applyFont="0" applyFill="0" applyBorder="0" applyAlignment="0" applyProtection="0"/>
    <xf numFmtId="208" fontId="89" fillId="0" borderId="0" applyFont="0" applyFill="0" applyBorder="0" applyAlignment="0" applyProtection="0"/>
    <xf numFmtId="0" fontId="90" fillId="0" borderId="0">
      <alignment/>
      <protection/>
    </xf>
    <xf numFmtId="0" fontId="90" fillId="0" borderId="0">
      <alignment/>
      <protection/>
    </xf>
    <xf numFmtId="0" fontId="90" fillId="0" borderId="0">
      <alignment/>
      <protection/>
    </xf>
    <xf numFmtId="0" fontId="1" fillId="0" borderId="0">
      <alignment/>
      <protection/>
    </xf>
    <xf numFmtId="1" fontId="91" fillId="0" borderId="1" applyBorder="0" applyAlignment="0">
      <protection/>
    </xf>
    <xf numFmtId="209" fontId="92" fillId="0" borderId="0" applyFont="0" applyFill="0" applyBorder="0" applyAlignment="0" applyProtection="0"/>
    <xf numFmtId="43" fontId="93" fillId="0" borderId="4" applyNumberFormat="0" applyFont="0" applyBorder="0" applyAlignment="0">
      <protection/>
    </xf>
    <xf numFmtId="43" fontId="93" fillId="0" borderId="4" applyNumberFormat="0" applyFont="0" applyBorder="0" applyAlignment="0">
      <protection/>
    </xf>
    <xf numFmtId="210" fontId="92" fillId="0" borderId="0" applyFont="0" applyFill="0" applyBorder="0" applyAlignment="0" applyProtection="0"/>
    <xf numFmtId="3" fontId="73" fillId="0" borderId="1">
      <alignment/>
      <protection/>
    </xf>
    <xf numFmtId="3" fontId="73" fillId="0" borderId="1">
      <alignment/>
      <protection/>
    </xf>
    <xf numFmtId="10" fontId="92" fillId="0" borderId="0" applyFont="0" applyFill="0" applyBorder="0" applyAlignment="0" applyProtection="0"/>
    <xf numFmtId="1" fontId="91" fillId="0" borderId="1" applyBorder="0" applyAlignment="0">
      <protection/>
    </xf>
    <xf numFmtId="1" fontId="93" fillId="0" borderId="4" applyNumberFormat="0" applyFont="0" applyBorder="0" applyAlignment="0">
      <protection/>
    </xf>
    <xf numFmtId="205" fontId="87" fillId="0" borderId="0" applyFont="0" applyFill="0" applyBorder="0" applyAlignment="0" applyProtection="0"/>
    <xf numFmtId="0" fontId="0" fillId="0" borderId="0">
      <alignment/>
      <protection/>
    </xf>
    <xf numFmtId="0" fontId="94" fillId="2" borderId="0">
      <alignment/>
      <protection/>
    </xf>
    <xf numFmtId="205" fontId="87" fillId="0" borderId="0" applyFont="0" applyFill="0" applyBorder="0" applyAlignment="0" applyProtection="0"/>
    <xf numFmtId="0" fontId="94" fillId="2" borderId="0">
      <alignment/>
      <protection/>
    </xf>
    <xf numFmtId="0" fontId="94" fillId="2" borderId="0">
      <alignment/>
      <protection/>
    </xf>
    <xf numFmtId="0" fontId="94" fillId="2" borderId="0">
      <alignment/>
      <protection/>
    </xf>
    <xf numFmtId="205" fontId="87" fillId="0" borderId="0" applyFont="0" applyFill="0" applyBorder="0" applyAlignment="0" applyProtection="0"/>
    <xf numFmtId="205" fontId="87" fillId="0" borderId="0" applyFont="0" applyFill="0" applyBorder="0" applyAlignment="0" applyProtection="0"/>
    <xf numFmtId="0" fontId="95" fillId="2" borderId="0">
      <alignment/>
      <protection/>
    </xf>
    <xf numFmtId="0" fontId="95" fillId="2" borderId="0">
      <alignment/>
      <protection/>
    </xf>
    <xf numFmtId="0" fontId="95" fillId="2" borderId="0">
      <alignment/>
      <protection/>
    </xf>
    <xf numFmtId="0" fontId="94" fillId="2" borderId="0">
      <alignment/>
      <protection/>
    </xf>
    <xf numFmtId="0" fontId="95" fillId="2" borderId="0">
      <alignment/>
      <protection/>
    </xf>
    <xf numFmtId="0" fontId="94" fillId="2" borderId="0">
      <alignment/>
      <protection/>
    </xf>
    <xf numFmtId="0" fontId="95" fillId="2" borderId="0">
      <alignment/>
      <protection/>
    </xf>
    <xf numFmtId="0" fontId="95" fillId="2" borderId="0">
      <alignment/>
      <protection/>
    </xf>
    <xf numFmtId="0" fontId="94" fillId="2" borderId="0">
      <alignment/>
      <protection/>
    </xf>
    <xf numFmtId="0" fontId="94" fillId="2" borderId="0">
      <alignment/>
      <protection/>
    </xf>
    <xf numFmtId="0" fontId="94" fillId="2" borderId="0">
      <alignment/>
      <protection/>
    </xf>
    <xf numFmtId="205" fontId="87" fillId="0" borderId="0" applyFont="0" applyFill="0" applyBorder="0" applyAlignment="0" applyProtection="0"/>
    <xf numFmtId="0" fontId="94" fillId="2" borderId="0">
      <alignment/>
      <protection/>
    </xf>
    <xf numFmtId="205" fontId="87" fillId="0" borderId="0" applyFont="0" applyFill="0" applyBorder="0" applyAlignment="0" applyProtection="0"/>
    <xf numFmtId="0" fontId="95" fillId="2" borderId="0">
      <alignment/>
      <protection/>
    </xf>
    <xf numFmtId="0" fontId="95" fillId="2" borderId="0">
      <alignment/>
      <protection/>
    </xf>
    <xf numFmtId="0" fontId="95" fillId="2" borderId="0">
      <alignment/>
      <protection/>
    </xf>
    <xf numFmtId="0" fontId="94" fillId="2" borderId="0">
      <alignment/>
      <protection/>
    </xf>
    <xf numFmtId="0" fontId="0" fillId="2" borderId="0">
      <alignment/>
      <protection/>
    </xf>
    <xf numFmtId="0" fontId="0" fillId="2" borderId="0">
      <alignment/>
      <protection/>
    </xf>
    <xf numFmtId="0" fontId="0" fillId="2" borderId="0">
      <alignment/>
      <protection/>
    </xf>
    <xf numFmtId="0" fontId="94" fillId="2" borderId="0">
      <alignment/>
      <protection/>
    </xf>
    <xf numFmtId="0" fontId="94" fillId="2" borderId="0">
      <alignment/>
      <protection/>
    </xf>
    <xf numFmtId="205" fontId="87" fillId="0" borderId="0" applyFont="0" applyFill="0" applyBorder="0" applyAlignment="0" applyProtection="0"/>
    <xf numFmtId="0" fontId="0" fillId="2" borderId="0">
      <alignment/>
      <protection/>
    </xf>
    <xf numFmtId="205" fontId="87" fillId="0" borderId="0" applyFont="0" applyFill="0" applyBorder="0" applyAlignment="0" applyProtection="0"/>
    <xf numFmtId="0" fontId="94" fillId="2" borderId="0">
      <alignment/>
      <protection/>
    </xf>
    <xf numFmtId="0" fontId="94"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4"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4"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4" fillId="2" borderId="0">
      <alignment/>
      <protection/>
    </xf>
    <xf numFmtId="0" fontId="94"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4" fillId="2" borderId="0">
      <alignment/>
      <protection/>
    </xf>
    <xf numFmtId="0" fontId="96" fillId="0" borderId="0" applyFont="0" applyFill="0" applyBorder="0" applyAlignment="0">
      <protection/>
    </xf>
    <xf numFmtId="205" fontId="87" fillId="0" borderId="0" applyFont="0" applyFill="0" applyBorder="0" applyAlignment="0" applyProtection="0"/>
    <xf numFmtId="0" fontId="95" fillId="2" borderId="0">
      <alignment/>
      <protection/>
    </xf>
    <xf numFmtId="0" fontId="95" fillId="2" borderId="0">
      <alignment/>
      <protection/>
    </xf>
    <xf numFmtId="0" fontId="95" fillId="2" borderId="0">
      <alignment/>
      <protection/>
    </xf>
    <xf numFmtId="0" fontId="94" fillId="2" borderId="0">
      <alignment/>
      <protection/>
    </xf>
    <xf numFmtId="205" fontId="87" fillId="0" borderId="0" applyFont="0" applyFill="0" applyBorder="0" applyAlignment="0" applyProtection="0"/>
    <xf numFmtId="0" fontId="94" fillId="2" borderId="0">
      <alignment/>
      <protection/>
    </xf>
    <xf numFmtId="0" fontId="95" fillId="2" borderId="0">
      <alignment/>
      <protection/>
    </xf>
    <xf numFmtId="0" fontId="95" fillId="2" borderId="0">
      <alignment/>
      <protection/>
    </xf>
    <xf numFmtId="0" fontId="95" fillId="2" borderId="0">
      <alignment/>
      <protection/>
    </xf>
    <xf numFmtId="0" fontId="94" fillId="2" borderId="0">
      <alignment/>
      <protection/>
    </xf>
    <xf numFmtId="0" fontId="94" fillId="2" borderId="0">
      <alignment/>
      <protection/>
    </xf>
    <xf numFmtId="0" fontId="94" fillId="2" borderId="0">
      <alignment/>
      <protection/>
    </xf>
    <xf numFmtId="0" fontId="95" fillId="2" borderId="0">
      <alignment/>
      <protection/>
    </xf>
    <xf numFmtId="0" fontId="94" fillId="2" borderId="0">
      <alignment/>
      <protection/>
    </xf>
    <xf numFmtId="0" fontId="0" fillId="2" borderId="0">
      <alignment/>
      <protection/>
    </xf>
    <xf numFmtId="0" fontId="94" fillId="2" borderId="0">
      <alignment/>
      <protection/>
    </xf>
    <xf numFmtId="0" fontId="94" fillId="2" borderId="0">
      <alignment/>
      <protection/>
    </xf>
    <xf numFmtId="0" fontId="94" fillId="2" borderId="0">
      <alignment/>
      <protection/>
    </xf>
    <xf numFmtId="0" fontId="2" fillId="0" borderId="0">
      <alignment/>
      <protection/>
    </xf>
    <xf numFmtId="0" fontId="94" fillId="2" borderId="0">
      <alignment/>
      <protection/>
    </xf>
    <xf numFmtId="0" fontId="94" fillId="2" borderId="0">
      <alignment/>
      <protection/>
    </xf>
    <xf numFmtId="0" fontId="94" fillId="2" borderId="0">
      <alignment/>
      <protection/>
    </xf>
    <xf numFmtId="0" fontId="94" fillId="2" borderId="0">
      <alignment/>
      <protection/>
    </xf>
    <xf numFmtId="0" fontId="94" fillId="2" borderId="0">
      <alignment/>
      <protection/>
    </xf>
    <xf numFmtId="0" fontId="94" fillId="3" borderId="0">
      <alignment/>
      <protection/>
    </xf>
    <xf numFmtId="0" fontId="94" fillId="2" borderId="0">
      <alignment/>
      <protection/>
    </xf>
    <xf numFmtId="0" fontId="94" fillId="2" borderId="0">
      <alignment/>
      <protection/>
    </xf>
    <xf numFmtId="0" fontId="97" fillId="0" borderId="1" applyNumberFormat="0" applyFont="0" applyBorder="0">
      <alignment horizontal="left" indent="2"/>
      <protection/>
    </xf>
    <xf numFmtId="0" fontId="97" fillId="0" borderId="1" applyNumberFormat="0" applyFont="0" applyBorder="0">
      <alignment horizontal="left" indent="2"/>
      <protection/>
    </xf>
    <xf numFmtId="0" fontId="96" fillId="0" borderId="0" applyFont="0" applyFill="0" applyBorder="0" applyAlignment="0">
      <protection/>
    </xf>
    <xf numFmtId="9" fontId="87" fillId="0" borderId="0" applyFont="0" applyFill="0" applyBorder="0" applyAlignment="0" applyProtection="0"/>
    <xf numFmtId="9" fontId="89" fillId="0" borderId="0" applyFont="0" applyFill="0" applyBorder="0" applyAlignment="0" applyProtection="0"/>
    <xf numFmtId="0" fontId="98" fillId="4" borderId="5" applyFont="0" applyFill="0" applyAlignment="0">
      <protection/>
    </xf>
    <xf numFmtId="0" fontId="0" fillId="0" borderId="0">
      <alignment/>
      <protection/>
    </xf>
    <xf numFmtId="9" fontId="99" fillId="0" borderId="0" applyBorder="0" applyAlignment="0" applyProtection="0"/>
    <xf numFmtId="0" fontId="100" fillId="2" borderId="0">
      <alignment/>
      <protection/>
    </xf>
    <xf numFmtId="0" fontId="100" fillId="2" borderId="0">
      <alignment/>
      <protection/>
    </xf>
    <xf numFmtId="0" fontId="100" fillId="2" borderId="0">
      <alignment/>
      <protection/>
    </xf>
    <xf numFmtId="0" fontId="101" fillId="2" borderId="0">
      <alignment/>
      <protection/>
    </xf>
    <xf numFmtId="0" fontId="95" fillId="2" borderId="0">
      <alignment/>
      <protection/>
    </xf>
    <xf numFmtId="0" fontId="95" fillId="2" borderId="0">
      <alignment/>
      <protection/>
    </xf>
    <xf numFmtId="0" fontId="95" fillId="2" borderId="0">
      <alignment/>
      <protection/>
    </xf>
    <xf numFmtId="0" fontId="100" fillId="2" borderId="0">
      <alignment/>
      <protection/>
    </xf>
    <xf numFmtId="0" fontId="95" fillId="2" borderId="0">
      <alignment/>
      <protection/>
    </xf>
    <xf numFmtId="0" fontId="100" fillId="2" borderId="0">
      <alignment/>
      <protection/>
    </xf>
    <xf numFmtId="0" fontId="95" fillId="2" borderId="0">
      <alignment/>
      <protection/>
    </xf>
    <xf numFmtId="0" fontId="95" fillId="2" borderId="0">
      <alignment/>
      <protection/>
    </xf>
    <xf numFmtId="0" fontId="100" fillId="2" borderId="0">
      <alignment/>
      <protection/>
    </xf>
    <xf numFmtId="0" fontId="100" fillId="2" borderId="0">
      <alignment/>
      <protection/>
    </xf>
    <xf numFmtId="0" fontId="100" fillId="2" borderId="0">
      <alignment/>
      <protection/>
    </xf>
    <xf numFmtId="0" fontId="100" fillId="2" borderId="0">
      <alignment/>
      <protection/>
    </xf>
    <xf numFmtId="0" fontId="100" fillId="2" borderId="0">
      <alignment/>
      <protection/>
    </xf>
    <xf numFmtId="0" fontId="100" fillId="2" borderId="0">
      <alignment/>
      <protection/>
    </xf>
    <xf numFmtId="0" fontId="95" fillId="2" borderId="0">
      <alignment/>
      <protection/>
    </xf>
    <xf numFmtId="0" fontId="95" fillId="2" borderId="0">
      <alignment/>
      <protection/>
    </xf>
    <xf numFmtId="0" fontId="95" fillId="2" borderId="0">
      <alignment/>
      <protection/>
    </xf>
    <xf numFmtId="0" fontId="100" fillId="2" borderId="0">
      <alignment/>
      <protection/>
    </xf>
    <xf numFmtId="0" fontId="0" fillId="2" borderId="0">
      <alignment/>
      <protection/>
    </xf>
    <xf numFmtId="0" fontId="0" fillId="2" borderId="0">
      <alignment/>
      <protection/>
    </xf>
    <xf numFmtId="0" fontId="0" fillId="2" borderId="0">
      <alignment/>
      <protection/>
    </xf>
    <xf numFmtId="0" fontId="100" fillId="2" borderId="0">
      <alignment/>
      <protection/>
    </xf>
    <xf numFmtId="0" fontId="100" fillId="2" borderId="0">
      <alignment/>
      <protection/>
    </xf>
    <xf numFmtId="0" fontId="0" fillId="2" borderId="0">
      <alignment/>
      <protection/>
    </xf>
    <xf numFmtId="0" fontId="100" fillId="2" borderId="0">
      <alignment/>
      <protection/>
    </xf>
    <xf numFmtId="0" fontId="100"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100"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100"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100" fillId="2" borderId="0">
      <alignment/>
      <protection/>
    </xf>
    <xf numFmtId="0" fontId="100"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100" fillId="2" borderId="0">
      <alignment/>
      <protection/>
    </xf>
    <xf numFmtId="0" fontId="95" fillId="2" borderId="0">
      <alignment/>
      <protection/>
    </xf>
    <xf numFmtId="0" fontId="95" fillId="2" borderId="0">
      <alignment/>
      <protection/>
    </xf>
    <xf numFmtId="0" fontId="95" fillId="2" borderId="0">
      <alignment/>
      <protection/>
    </xf>
    <xf numFmtId="0" fontId="100" fillId="2" borderId="0">
      <alignment/>
      <protection/>
    </xf>
    <xf numFmtId="0" fontId="100" fillId="2" borderId="0">
      <alignment/>
      <protection/>
    </xf>
    <xf numFmtId="0" fontId="95" fillId="2" borderId="0">
      <alignment/>
      <protection/>
    </xf>
    <xf numFmtId="0" fontId="95" fillId="2" borderId="0">
      <alignment/>
      <protection/>
    </xf>
    <xf numFmtId="0" fontId="95" fillId="2" borderId="0">
      <alignment/>
      <protection/>
    </xf>
    <xf numFmtId="0" fontId="100" fillId="2" borderId="0">
      <alignment/>
      <protection/>
    </xf>
    <xf numFmtId="0" fontId="100" fillId="2" borderId="0">
      <alignment/>
      <protection/>
    </xf>
    <xf numFmtId="0" fontId="100" fillId="2" borderId="0">
      <alignment/>
      <protection/>
    </xf>
    <xf numFmtId="0" fontId="95" fillId="2" borderId="0">
      <alignment/>
      <protection/>
    </xf>
    <xf numFmtId="0" fontId="0" fillId="2" borderId="0">
      <alignment/>
      <protection/>
    </xf>
    <xf numFmtId="0" fontId="100" fillId="2" borderId="0">
      <alignment/>
      <protection/>
    </xf>
    <xf numFmtId="0" fontId="100" fillId="2" borderId="0">
      <alignment/>
      <protection/>
    </xf>
    <xf numFmtId="0" fontId="100" fillId="2" borderId="0">
      <alignment/>
      <protection/>
    </xf>
    <xf numFmtId="0" fontId="100" fillId="2" borderId="0">
      <alignment/>
      <protection/>
    </xf>
    <xf numFmtId="0" fontId="100" fillId="2" borderId="0">
      <alignment/>
      <protection/>
    </xf>
    <xf numFmtId="0" fontId="100" fillId="2" borderId="0">
      <alignment/>
      <protection/>
    </xf>
    <xf numFmtId="0" fontId="100" fillId="3" borderId="0">
      <alignment/>
      <protection/>
    </xf>
    <xf numFmtId="0" fontId="100" fillId="2" borderId="0">
      <alignment/>
      <protection/>
    </xf>
    <xf numFmtId="0" fontId="100" fillId="2" borderId="0">
      <alignment/>
      <protection/>
    </xf>
    <xf numFmtId="0" fontId="97" fillId="0" borderId="1" applyNumberFormat="0" applyFont="0" applyBorder="0" applyAlignment="0">
      <protection/>
    </xf>
    <xf numFmtId="0" fontId="97" fillId="0" borderId="1" applyNumberFormat="0" applyFont="0" applyBorder="0" applyAlignment="0">
      <protection/>
    </xf>
    <xf numFmtId="0" fontId="20" fillId="0" borderId="0">
      <alignment/>
      <protection/>
    </xf>
    <xf numFmtId="0" fontId="244"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244"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244"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44"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44"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244"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0" fillId="0" borderId="0">
      <alignment/>
      <protection/>
    </xf>
    <xf numFmtId="0" fontId="1" fillId="0" borderId="0">
      <alignment/>
      <protection/>
    </xf>
    <xf numFmtId="0" fontId="102" fillId="0" borderId="0">
      <alignment/>
      <protection/>
    </xf>
    <xf numFmtId="0" fontId="101" fillId="2" borderId="0">
      <alignment/>
      <protection/>
    </xf>
    <xf numFmtId="0" fontId="101" fillId="2" borderId="0">
      <alignment/>
      <protection/>
    </xf>
    <xf numFmtId="0" fontId="101" fillId="2" borderId="0">
      <alignment/>
      <protection/>
    </xf>
    <xf numFmtId="0" fontId="103" fillId="2" borderId="0">
      <alignment/>
      <protection/>
    </xf>
    <xf numFmtId="0" fontId="95" fillId="2" borderId="0">
      <alignment/>
      <protection/>
    </xf>
    <xf numFmtId="0" fontId="95" fillId="2" borderId="0">
      <alignment/>
      <protection/>
    </xf>
    <xf numFmtId="0" fontId="95" fillId="2" borderId="0">
      <alignment/>
      <protection/>
    </xf>
    <xf numFmtId="0" fontId="101" fillId="2" borderId="0">
      <alignment/>
      <protection/>
    </xf>
    <xf numFmtId="0" fontId="95" fillId="2" borderId="0">
      <alignment/>
      <protection/>
    </xf>
    <xf numFmtId="0" fontId="101" fillId="2" borderId="0">
      <alignment/>
      <protection/>
    </xf>
    <xf numFmtId="0" fontId="95" fillId="2" borderId="0">
      <alignment/>
      <protection/>
    </xf>
    <xf numFmtId="0" fontId="95" fillId="2" borderId="0">
      <alignment/>
      <protection/>
    </xf>
    <xf numFmtId="0" fontId="101" fillId="2" borderId="0">
      <alignment/>
      <protection/>
    </xf>
    <xf numFmtId="0" fontId="101" fillId="2" borderId="0">
      <alignment/>
      <protection/>
    </xf>
    <xf numFmtId="0" fontId="101" fillId="2" borderId="0">
      <alignment/>
      <protection/>
    </xf>
    <xf numFmtId="0" fontId="101" fillId="2" borderId="0">
      <alignment/>
      <protection/>
    </xf>
    <xf numFmtId="0" fontId="101" fillId="2" borderId="0">
      <alignment/>
      <protection/>
    </xf>
    <xf numFmtId="0" fontId="101" fillId="2" borderId="0">
      <alignment/>
      <protection/>
    </xf>
    <xf numFmtId="0" fontId="95" fillId="2" borderId="0">
      <alignment/>
      <protection/>
    </xf>
    <xf numFmtId="0" fontId="95" fillId="2" borderId="0">
      <alignment/>
      <protection/>
    </xf>
    <xf numFmtId="0" fontId="95" fillId="2" borderId="0">
      <alignment/>
      <protection/>
    </xf>
    <xf numFmtId="0" fontId="101" fillId="2" borderId="0">
      <alignment/>
      <protection/>
    </xf>
    <xf numFmtId="0" fontId="0" fillId="2" borderId="0">
      <alignment/>
      <protection/>
    </xf>
    <xf numFmtId="0" fontId="0" fillId="2" borderId="0">
      <alignment/>
      <protection/>
    </xf>
    <xf numFmtId="0" fontId="0" fillId="2" borderId="0">
      <alignment/>
      <protection/>
    </xf>
    <xf numFmtId="0" fontId="101" fillId="2" borderId="0">
      <alignment/>
      <protection/>
    </xf>
    <xf numFmtId="0" fontId="101" fillId="2" borderId="0">
      <alignment/>
      <protection/>
    </xf>
    <xf numFmtId="0" fontId="0" fillId="2" borderId="0">
      <alignment/>
      <protection/>
    </xf>
    <xf numFmtId="0" fontId="101" fillId="2" borderId="0">
      <alignment/>
      <protection/>
    </xf>
    <xf numFmtId="0" fontId="101"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101"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101"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101" fillId="2" borderId="0">
      <alignment/>
      <protection/>
    </xf>
    <xf numFmtId="0" fontId="101" fillId="2" borderId="0">
      <alignment/>
      <protection/>
    </xf>
    <xf numFmtId="0" fontId="95" fillId="2" borderId="0">
      <alignment/>
      <protection/>
    </xf>
    <xf numFmtId="0" fontId="95" fillId="2" borderId="0">
      <alignment/>
      <protection/>
    </xf>
    <xf numFmtId="0" fontId="95" fillId="2" borderId="0">
      <alignment/>
      <protection/>
    </xf>
    <xf numFmtId="0" fontId="95" fillId="2" borderId="0">
      <alignment/>
      <protection/>
    </xf>
    <xf numFmtId="0" fontId="101" fillId="2" borderId="0">
      <alignment/>
      <protection/>
    </xf>
    <xf numFmtId="0" fontId="95" fillId="2" borderId="0">
      <alignment/>
      <protection/>
    </xf>
    <xf numFmtId="0" fontId="95" fillId="2" borderId="0">
      <alignment/>
      <protection/>
    </xf>
    <xf numFmtId="0" fontId="95" fillId="2" borderId="0">
      <alignment/>
      <protection/>
    </xf>
    <xf numFmtId="0" fontId="101" fillId="2" borderId="0">
      <alignment/>
      <protection/>
    </xf>
    <xf numFmtId="0" fontId="101" fillId="2" borderId="0">
      <alignment/>
      <protection/>
    </xf>
    <xf numFmtId="0" fontId="95" fillId="2" borderId="0">
      <alignment/>
      <protection/>
    </xf>
    <xf numFmtId="0" fontId="95" fillId="2" borderId="0">
      <alignment/>
      <protection/>
    </xf>
    <xf numFmtId="0" fontId="95" fillId="2" borderId="0">
      <alignment/>
      <protection/>
    </xf>
    <xf numFmtId="0" fontId="101" fillId="2" borderId="0">
      <alignment/>
      <protection/>
    </xf>
    <xf numFmtId="0" fontId="101" fillId="2" borderId="0">
      <alignment/>
      <protection/>
    </xf>
    <xf numFmtId="0" fontId="101" fillId="2" borderId="0">
      <alignment/>
      <protection/>
    </xf>
    <xf numFmtId="0" fontId="95" fillId="2" borderId="0">
      <alignment/>
      <protection/>
    </xf>
    <xf numFmtId="0" fontId="0" fillId="2" borderId="0">
      <alignment/>
      <protection/>
    </xf>
    <xf numFmtId="0" fontId="101" fillId="2" borderId="0">
      <alignment/>
      <protection/>
    </xf>
    <xf numFmtId="0" fontId="101" fillId="2" borderId="0">
      <alignment/>
      <protection/>
    </xf>
    <xf numFmtId="0" fontId="101" fillId="2" borderId="0">
      <alignment/>
      <protection/>
    </xf>
    <xf numFmtId="0" fontId="101" fillId="2" borderId="0">
      <alignment/>
      <protection/>
    </xf>
    <xf numFmtId="0" fontId="101" fillId="2" borderId="0">
      <alignment/>
      <protection/>
    </xf>
    <xf numFmtId="0" fontId="101" fillId="2" borderId="0">
      <alignment/>
      <protection/>
    </xf>
    <xf numFmtId="0" fontId="101" fillId="3" borderId="0">
      <alignment/>
      <protection/>
    </xf>
    <xf numFmtId="0" fontId="101" fillId="2" borderId="0">
      <alignment/>
      <protection/>
    </xf>
    <xf numFmtId="0" fontId="103" fillId="0" borderId="0">
      <alignment wrapText="1"/>
      <protection/>
    </xf>
    <xf numFmtId="0" fontId="103" fillId="0" borderId="0">
      <alignment wrapText="1"/>
      <protection/>
    </xf>
    <xf numFmtId="0" fontId="103" fillId="0" borderId="0">
      <alignment wrapText="1"/>
      <protection/>
    </xf>
    <xf numFmtId="0" fontId="104"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95" fillId="0" borderId="0">
      <alignment wrapText="1"/>
      <protection/>
    </xf>
    <xf numFmtId="0" fontId="103"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103" fillId="0" borderId="0">
      <alignment wrapText="1"/>
      <protection/>
    </xf>
    <xf numFmtId="0" fontId="103" fillId="0" borderId="0">
      <alignment wrapText="1"/>
      <protection/>
    </xf>
    <xf numFmtId="0" fontId="0" fillId="0" borderId="0">
      <alignment wrapText="1"/>
      <protection/>
    </xf>
    <xf numFmtId="0" fontId="103" fillId="0" borderId="0">
      <alignment wrapText="1"/>
      <protection/>
    </xf>
    <xf numFmtId="0" fontId="103"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103"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103" fillId="0" borderId="0">
      <alignment wrapText="1"/>
      <protection/>
    </xf>
    <xf numFmtId="0" fontId="95" fillId="0" borderId="0">
      <alignment wrapText="1"/>
      <protection/>
    </xf>
    <xf numFmtId="0" fontId="95" fillId="0" borderId="0">
      <alignment wrapText="1"/>
      <protection/>
    </xf>
    <xf numFmtId="0" fontId="95"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95" fillId="0" borderId="0">
      <alignment wrapText="1"/>
      <protection/>
    </xf>
    <xf numFmtId="0" fontId="0"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103" fillId="0" borderId="0">
      <alignment wrapText="1"/>
      <protection/>
    </xf>
    <xf numFmtId="0" fontId="244"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244"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244"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244" fillId="23"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44" fillId="24"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24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68" fillId="0" borderId="0">
      <alignment/>
      <protection/>
    </xf>
    <xf numFmtId="0" fontId="68" fillId="0" borderId="0">
      <alignment/>
      <protection/>
    </xf>
    <xf numFmtId="0" fontId="68" fillId="0" borderId="0">
      <alignment/>
      <protection/>
    </xf>
    <xf numFmtId="0" fontId="245" fillId="27"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245" fillId="29"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245" fillId="30"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245" fillId="31"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245" fillId="33"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245" fillId="35"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5" fillId="36" borderId="0" applyNumberFormat="0" applyBorder="0" applyAlignment="0" applyProtection="0"/>
    <xf numFmtId="0" fontId="106" fillId="0" borderId="0">
      <alignment/>
      <protection/>
    </xf>
    <xf numFmtId="0" fontId="245" fillId="37"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245" fillId="39"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245" fillId="41"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245" fillId="43"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245" fillId="4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105" fillId="34" borderId="0" applyNumberFormat="0" applyBorder="0" applyAlignment="0" applyProtection="0"/>
    <xf numFmtId="0" fontId="245" fillId="45"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05" fillId="46" borderId="0" applyNumberFormat="0" applyBorder="0" applyAlignment="0" applyProtection="0"/>
    <xf numFmtId="211" fontId="0" fillId="0" borderId="0" applyFont="0" applyFill="0" applyBorder="0" applyAlignment="0" applyProtection="0"/>
    <xf numFmtId="0" fontId="104" fillId="0" borderId="0" applyFont="0" applyFill="0" applyBorder="0" applyAlignment="0" applyProtection="0"/>
    <xf numFmtId="212" fontId="70" fillId="0" borderId="0" applyFont="0" applyFill="0" applyBorder="0" applyAlignment="0" applyProtection="0"/>
    <xf numFmtId="213" fontId="0" fillId="0" borderId="0" applyFont="0" applyFill="0" applyBorder="0" applyAlignment="0" applyProtection="0"/>
    <xf numFmtId="0" fontId="104" fillId="0" borderId="0" applyFont="0" applyFill="0" applyBorder="0" applyAlignment="0" applyProtection="0"/>
    <xf numFmtId="213" fontId="0" fillId="0" borderId="0" applyFont="0" applyFill="0" applyBorder="0" applyAlignment="0" applyProtection="0"/>
    <xf numFmtId="0" fontId="16" fillId="0" borderId="0">
      <alignment horizontal="center" wrapText="1"/>
      <protection locked="0"/>
    </xf>
    <xf numFmtId="0" fontId="107" fillId="0" borderId="0" applyNumberFormat="0" applyBorder="0" applyAlignment="0">
      <protection/>
    </xf>
    <xf numFmtId="214" fontId="108" fillId="0" borderId="0" applyFont="0" applyFill="0" applyBorder="0" applyAlignment="0" applyProtection="0"/>
    <xf numFmtId="0" fontId="104" fillId="0" borderId="0" applyFont="0" applyFill="0" applyBorder="0" applyAlignment="0" applyProtection="0"/>
    <xf numFmtId="214" fontId="108" fillId="0" borderId="0" applyFont="0" applyFill="0" applyBorder="0" applyAlignment="0" applyProtection="0"/>
    <xf numFmtId="215" fontId="108" fillId="0" borderId="0" applyFont="0" applyFill="0" applyBorder="0" applyAlignment="0" applyProtection="0"/>
    <xf numFmtId="0" fontId="104" fillId="0" borderId="0" applyFont="0" applyFill="0" applyBorder="0" applyAlignment="0" applyProtection="0"/>
    <xf numFmtId="215" fontId="108" fillId="0" borderId="0" applyFont="0" applyFill="0" applyBorder="0" applyAlignment="0" applyProtection="0"/>
    <xf numFmtId="194" fontId="70" fillId="0" borderId="0" applyFont="0" applyFill="0" applyBorder="0" applyAlignment="0" applyProtection="0"/>
    <xf numFmtId="0" fontId="246" fillId="47"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10" fillId="0" borderId="0">
      <alignment/>
      <protection/>
    </xf>
    <xf numFmtId="0" fontId="111" fillId="0" borderId="0" applyNumberFormat="0" applyFill="0" applyBorder="0" applyAlignment="0" applyProtection="0"/>
    <xf numFmtId="0" fontId="104" fillId="0" borderId="0">
      <alignment/>
      <protection/>
    </xf>
    <xf numFmtId="0" fontId="40" fillId="0" borderId="0">
      <alignment/>
      <protection/>
    </xf>
    <xf numFmtId="0" fontId="1" fillId="0" borderId="0">
      <alignment/>
      <protection/>
    </xf>
    <xf numFmtId="0" fontId="104" fillId="0" borderId="0">
      <alignment/>
      <protection/>
    </xf>
    <xf numFmtId="0" fontId="112" fillId="0" borderId="0">
      <alignment/>
      <protection/>
    </xf>
    <xf numFmtId="0" fontId="113" fillId="0" borderId="0">
      <alignment/>
      <protection/>
    </xf>
    <xf numFmtId="0" fontId="108" fillId="0" borderId="0">
      <alignment/>
      <protection/>
    </xf>
    <xf numFmtId="216" fontId="20" fillId="0" borderId="0" applyFill="0" applyBorder="0" applyAlignment="0">
      <protection/>
    </xf>
    <xf numFmtId="217" fontId="0" fillId="0" borderId="0" applyFill="0" applyBorder="0" applyAlignment="0">
      <protection/>
    </xf>
    <xf numFmtId="218" fontId="0" fillId="0" borderId="0" applyFill="0" applyBorder="0" applyAlignment="0">
      <protection/>
    </xf>
    <xf numFmtId="219" fontId="0" fillId="0" borderId="0" applyFill="0" applyBorder="0" applyAlignment="0">
      <protection/>
    </xf>
    <xf numFmtId="220" fontId="0" fillId="0" borderId="0" applyFill="0" applyBorder="0" applyAlignment="0">
      <protection/>
    </xf>
    <xf numFmtId="221" fontId="0" fillId="0" borderId="0" applyFill="0" applyBorder="0" applyAlignment="0">
      <protection/>
    </xf>
    <xf numFmtId="222" fontId="0" fillId="0" borderId="0" applyFill="0" applyBorder="0" applyAlignment="0">
      <protection/>
    </xf>
    <xf numFmtId="217" fontId="0" fillId="0" borderId="0" applyFill="0" applyBorder="0" applyAlignment="0">
      <protection/>
    </xf>
    <xf numFmtId="0" fontId="247" fillId="48" borderId="6"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4" fillId="2" borderId="7" applyNumberFormat="0" applyAlignment="0" applyProtection="0"/>
    <xf numFmtId="0" fontId="115" fillId="0" borderId="0">
      <alignment/>
      <protection/>
    </xf>
    <xf numFmtId="223" fontId="83" fillId="0" borderId="0" applyFont="0" applyFill="0" applyBorder="0" applyAlignment="0" applyProtection="0"/>
    <xf numFmtId="0" fontId="248" fillId="49" borderId="8"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0" fontId="123" fillId="50" borderId="9" applyNumberFormat="0" applyAlignment="0" applyProtection="0"/>
    <xf numFmtId="184" fontId="122" fillId="0" borderId="0" applyFont="0" applyFill="0" applyBorder="0" applyAlignment="0" applyProtection="0"/>
    <xf numFmtId="1" fontId="124" fillId="0" borderId="10" applyBorder="0">
      <alignment/>
      <protection/>
    </xf>
    <xf numFmtId="0" fontId="116" fillId="0" borderId="11" applyNumberFormat="0" applyFill="0" applyProtection="0">
      <alignment horizontal="center"/>
    </xf>
    <xf numFmtId="173" fontId="0" fillId="0" borderId="0" applyFont="0" applyFill="0" applyBorder="0" applyAlignment="0" applyProtection="0"/>
    <xf numFmtId="224" fontId="0" fillId="0" borderId="0">
      <alignment/>
      <protection/>
    </xf>
    <xf numFmtId="224" fontId="0" fillId="0" borderId="0">
      <alignment/>
      <protection/>
    </xf>
    <xf numFmtId="224" fontId="0" fillId="0" borderId="0">
      <alignment/>
      <protection/>
    </xf>
    <xf numFmtId="224" fontId="0" fillId="0" borderId="0">
      <alignment/>
      <protection/>
    </xf>
    <xf numFmtId="224" fontId="0" fillId="0" borderId="0">
      <alignment/>
      <protection/>
    </xf>
    <xf numFmtId="224" fontId="0" fillId="0" borderId="0">
      <alignment/>
      <protection/>
    </xf>
    <xf numFmtId="224" fontId="0" fillId="0" borderId="0">
      <alignment/>
      <protection/>
    </xf>
    <xf numFmtId="224" fontId="0" fillId="0" borderId="0">
      <alignment/>
      <protection/>
    </xf>
    <xf numFmtId="171" fontId="0" fillId="0" borderId="0" applyFont="0" applyFill="0" applyBorder="0" applyAlignment="0" applyProtection="0"/>
    <xf numFmtId="41" fontId="0" fillId="0" borderId="0" applyFont="0" applyFill="0" applyBorder="0" applyAlignment="0" applyProtection="0"/>
    <xf numFmtId="41" fontId="9"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0" fillId="0" borderId="0" applyFont="0" applyFill="0" applyBorder="0" applyAlignment="0" applyProtection="0"/>
    <xf numFmtId="221"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9" fontId="4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20" fillId="0" borderId="0" applyFont="0" applyFill="0" applyBorder="0" applyAlignment="0" applyProtection="0"/>
    <xf numFmtId="225" fontId="0" fillId="0" borderId="0" applyFont="0" applyFill="0" applyBorder="0" applyAlignment="0" applyProtection="0"/>
    <xf numFmtId="43" fontId="0" fillId="0" borderId="0" applyFont="0" applyFill="0" applyBorder="0" applyAlignment="0" applyProtection="0"/>
    <xf numFmtId="43" fontId="106" fillId="0" borderId="0" applyFont="0" applyFill="0" applyBorder="0" applyAlignment="0" applyProtection="0"/>
    <xf numFmtId="43" fontId="20" fillId="0" borderId="0" applyFont="0" applyFill="0" applyBorder="0" applyAlignment="0" applyProtection="0"/>
    <xf numFmtId="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26"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227"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6" fontId="5"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69" fontId="15" fillId="0" borderId="0" applyFont="0" applyFill="0" applyBorder="0" applyAlignment="0" applyProtection="0"/>
    <xf numFmtId="228" fontId="2" fillId="0" borderId="0" applyFont="0" applyFill="0" applyBorder="0" applyAlignment="0" applyProtection="0"/>
    <xf numFmtId="43" fontId="0" fillId="0" borderId="0" applyFont="0" applyFill="0" applyBorder="0" applyAlignment="0" applyProtection="0"/>
    <xf numFmtId="229" fontId="1" fillId="0" borderId="0">
      <alignment/>
      <protection/>
    </xf>
    <xf numFmtId="37" fontId="92" fillId="0" borderId="0" applyFont="0" applyFill="0" applyBorder="0" applyAlignment="0" applyProtection="0"/>
    <xf numFmtId="224" fontId="92" fillId="0" borderId="0" applyFont="0" applyFill="0" applyBorder="0" applyAlignment="0" applyProtection="0"/>
    <xf numFmtId="39" fontId="92" fillId="0" borderId="0" applyFont="0" applyFill="0" applyBorder="0" applyAlignment="0" applyProtection="0"/>
    <xf numFmtId="3" fontId="0" fillId="0" borderId="0" applyFont="0" applyFill="0" applyBorder="0" applyAlignment="0" applyProtection="0"/>
    <xf numFmtId="0" fontId="119" fillId="0" borderId="0">
      <alignment horizontal="center"/>
      <protection/>
    </xf>
    <xf numFmtId="0" fontId="120" fillId="0" borderId="0" applyNumberFormat="0" applyAlignment="0">
      <protection/>
    </xf>
    <xf numFmtId="0" fontId="121" fillId="0" borderId="0" applyNumberFormat="0" applyAlignment="0">
      <protection/>
    </xf>
    <xf numFmtId="230" fontId="4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7" fontId="0" fillId="0" borderId="0" applyFont="0" applyFill="0" applyBorder="0" applyAlignment="0" applyProtection="0"/>
    <xf numFmtId="168" fontId="118" fillId="0" borderId="0" applyFont="0" applyFill="0" applyBorder="0" applyAlignment="0" applyProtection="0"/>
    <xf numFmtId="0" fontId="118" fillId="0" borderId="0" applyFont="0" applyFill="0" applyBorder="0" applyAlignment="0" applyProtection="0"/>
    <xf numFmtId="44" fontId="0" fillId="0" borderId="0" applyFont="0" applyFill="0" applyBorder="0" applyAlignment="0" applyProtection="0"/>
    <xf numFmtId="164" fontId="92" fillId="0" borderId="0" applyFont="0" applyFill="0" applyBorder="0" applyAlignment="0" applyProtection="0"/>
    <xf numFmtId="165" fontId="92" fillId="0" borderId="0" applyFont="0" applyFill="0" applyBorder="0" applyAlignment="0" applyProtection="0"/>
    <xf numFmtId="199" fontId="122" fillId="0" borderId="0" applyFont="0" applyFill="0" applyBorder="0" applyAlignment="0" applyProtection="0"/>
    <xf numFmtId="231" fontId="0" fillId="0" borderId="0">
      <alignment/>
      <protection/>
    </xf>
    <xf numFmtId="181" fontId="20" fillId="0" borderId="12">
      <alignment/>
      <protection/>
    </xf>
    <xf numFmtId="0" fontId="22" fillId="2" borderId="0" applyNumberFormat="0" applyFont="0" applyFill="0" applyBorder="0" applyProtection="0">
      <alignment horizontal="left"/>
    </xf>
    <xf numFmtId="0" fontId="0" fillId="0" borderId="0" applyFont="0" applyFill="0" applyBorder="0" applyAlignment="0" applyProtection="0"/>
    <xf numFmtId="14" fontId="66" fillId="0" borderId="0" applyFill="0" applyBorder="0" applyAlignment="0">
      <protection/>
    </xf>
    <xf numFmtId="0" fontId="43" fillId="0" borderId="0" applyProtection="0">
      <alignment/>
    </xf>
    <xf numFmtId="0" fontId="125" fillId="0" borderId="0">
      <alignment/>
      <protection/>
    </xf>
    <xf numFmtId="0" fontId="0" fillId="0" borderId="0" applyFont="0" applyFill="0" applyBorder="0" applyAlignment="0" applyProtection="0"/>
    <xf numFmtId="0" fontId="0" fillId="0" borderId="0" applyFont="0" applyFill="0" applyBorder="0" applyAlignment="0" applyProtection="0"/>
    <xf numFmtId="232" fontId="20" fillId="0" borderId="0">
      <alignment/>
      <protection/>
    </xf>
    <xf numFmtId="233" fontId="68" fillId="0" borderId="1">
      <alignment/>
      <protection/>
    </xf>
    <xf numFmtId="234" fontId="0" fillId="0" borderId="0">
      <alignment/>
      <protection/>
    </xf>
    <xf numFmtId="235" fontId="68" fillId="0" borderId="0">
      <alignment/>
      <protection/>
    </xf>
    <xf numFmtId="3" fontId="106" fillId="0" borderId="0">
      <alignment horizontal="right"/>
      <protection/>
    </xf>
    <xf numFmtId="192" fontId="126" fillId="0" borderId="0" applyFont="0" applyFill="0" applyBorder="0" applyAlignment="0" applyProtection="0"/>
    <xf numFmtId="193"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41" fontId="126" fillId="0" borderId="0" applyFont="0" applyFill="0" applyBorder="0" applyAlignment="0" applyProtection="0"/>
    <xf numFmtId="192" fontId="126"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37" fontId="20" fillId="0" borderId="0" applyFont="0" applyFill="0" applyBorder="0" applyAlignment="0" applyProtection="0"/>
    <xf numFmtId="237"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167" fontId="126" fillId="0" borderId="0" applyFont="0" applyFill="0" applyBorder="0" applyAlignment="0" applyProtection="0"/>
    <xf numFmtId="167" fontId="126" fillId="0" borderId="0" applyFont="0" applyFill="0" applyBorder="0" applyAlignment="0" applyProtection="0"/>
    <xf numFmtId="167" fontId="126" fillId="0" borderId="0" applyFont="0" applyFill="0" applyBorder="0" applyAlignment="0" applyProtection="0"/>
    <xf numFmtId="167" fontId="126" fillId="0" borderId="0" applyFont="0" applyFill="0" applyBorder="0" applyAlignment="0" applyProtection="0"/>
    <xf numFmtId="167" fontId="126" fillId="0" borderId="0" applyFont="0" applyFill="0" applyBorder="0" applyAlignment="0" applyProtection="0"/>
    <xf numFmtId="167" fontId="126" fillId="0" borderId="0" applyFont="0" applyFill="0" applyBorder="0" applyAlignment="0" applyProtection="0"/>
    <xf numFmtId="41" fontId="126" fillId="0" borderId="0" applyFont="0" applyFill="0" applyBorder="0" applyAlignment="0" applyProtection="0"/>
    <xf numFmtId="192" fontId="126" fillId="0" borderId="0" applyFont="0" applyFill="0" applyBorder="0" applyAlignment="0" applyProtection="0"/>
    <xf numFmtId="41" fontId="126" fillId="0" borderId="0" applyFont="0" applyFill="0" applyBorder="0" applyAlignment="0" applyProtection="0"/>
    <xf numFmtId="192"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167" fontId="126" fillId="0" borderId="0" applyFont="0" applyFill="0" applyBorder="0" applyAlignment="0" applyProtection="0"/>
    <xf numFmtId="167" fontId="126" fillId="0" borderId="0" applyFont="0" applyFill="0" applyBorder="0" applyAlignment="0" applyProtection="0"/>
    <xf numFmtId="41"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26" fillId="0" borderId="0" applyFont="0" applyFill="0" applyBorder="0" applyAlignment="0" applyProtection="0"/>
    <xf numFmtId="193" fontId="126"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0" fontId="20" fillId="0" borderId="0" applyFont="0" applyFill="0" applyBorder="0" applyAlignment="0" applyProtection="0"/>
    <xf numFmtId="240"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9" fontId="126" fillId="0" borderId="0" applyFont="0" applyFill="0" applyBorder="0" applyAlignment="0" applyProtection="0"/>
    <xf numFmtId="169" fontId="126" fillId="0" borderId="0" applyFont="0" applyFill="0" applyBorder="0" applyAlignment="0" applyProtection="0"/>
    <xf numFmtId="169" fontId="126" fillId="0" borderId="0" applyFont="0" applyFill="0" applyBorder="0" applyAlignment="0" applyProtection="0"/>
    <xf numFmtId="169" fontId="126" fillId="0" borderId="0" applyFont="0" applyFill="0" applyBorder="0" applyAlignment="0" applyProtection="0"/>
    <xf numFmtId="169" fontId="126" fillId="0" borderId="0" applyFont="0" applyFill="0" applyBorder="0" applyAlignment="0" applyProtection="0"/>
    <xf numFmtId="169" fontId="126" fillId="0" borderId="0" applyFont="0" applyFill="0" applyBorder="0" applyAlignment="0" applyProtection="0"/>
    <xf numFmtId="43" fontId="126" fillId="0" borderId="0" applyFont="0" applyFill="0" applyBorder="0" applyAlignment="0" applyProtection="0"/>
    <xf numFmtId="193" fontId="126" fillId="0" borderId="0" applyFont="0" applyFill="0" applyBorder="0" applyAlignment="0" applyProtection="0"/>
    <xf numFmtId="43" fontId="126" fillId="0" borderId="0" applyFont="0" applyFill="0" applyBorder="0" applyAlignment="0" applyProtection="0"/>
    <xf numFmtId="19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9" fontId="126" fillId="0" borderId="0" applyFont="0" applyFill="0" applyBorder="0" applyAlignment="0" applyProtection="0"/>
    <xf numFmtId="169" fontId="126" fillId="0" borderId="0" applyFont="0" applyFill="0" applyBorder="0" applyAlignment="0" applyProtection="0"/>
    <xf numFmtId="43" fontId="126" fillId="0" borderId="0" applyFont="0" applyFill="0" applyBorder="0" applyAlignment="0" applyProtection="0"/>
    <xf numFmtId="3" fontId="20" fillId="0" borderId="0" applyFont="0" applyBorder="0" applyAlignment="0">
      <protection/>
    </xf>
    <xf numFmtId="0" fontId="111" fillId="0" borderId="0" applyNumberFormat="0" applyFill="0" applyBorder="0" applyAlignment="0" applyProtection="0"/>
    <xf numFmtId="221" fontId="0" fillId="0" borderId="0" applyFill="0" applyBorder="0" applyAlignment="0">
      <protection/>
    </xf>
    <xf numFmtId="217" fontId="0" fillId="0" borderId="0" applyFill="0" applyBorder="0" applyAlignment="0">
      <protection/>
    </xf>
    <xf numFmtId="221" fontId="0" fillId="0" borderId="0" applyFill="0" applyBorder="0" applyAlignment="0">
      <protection/>
    </xf>
    <xf numFmtId="222" fontId="0" fillId="0" borderId="0" applyFill="0" applyBorder="0" applyAlignment="0">
      <protection/>
    </xf>
    <xf numFmtId="217" fontId="0" fillId="0" borderId="0" applyFill="0" applyBorder="0" applyAlignment="0">
      <protection/>
    </xf>
    <xf numFmtId="0" fontId="127" fillId="0" borderId="0" applyNumberFormat="0" applyAlignment="0">
      <protection/>
    </xf>
    <xf numFmtId="242" fontId="77" fillId="0" borderId="0" applyFont="0" applyFill="0" applyBorder="0" applyAlignment="0" applyProtection="0"/>
    <xf numFmtId="0" fontId="24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3" fontId="20" fillId="0" borderId="0" applyFont="0" applyBorder="0" applyAlignment="0">
      <protection/>
    </xf>
    <xf numFmtId="0" fontId="0" fillId="0" borderId="0">
      <alignment/>
      <protection/>
    </xf>
    <xf numFmtId="2" fontId="0" fillId="0" borderId="0" applyFont="0" applyFill="0" applyBorder="0" applyAlignment="0" applyProtection="0"/>
    <xf numFmtId="0" fontId="129" fillId="0" borderId="0" applyNumberFormat="0" applyFill="0" applyBorder="0" applyAlignment="0" applyProtection="0"/>
    <xf numFmtId="0" fontId="130" fillId="0" borderId="0" applyNumberFormat="0" applyFill="0" applyBorder="0" applyProtection="0">
      <alignment vertical="center"/>
    </xf>
    <xf numFmtId="0" fontId="131" fillId="0" borderId="0" applyNumberFormat="0" applyFill="0" applyBorder="0" applyAlignment="0" applyProtection="0"/>
    <xf numFmtId="0" fontId="132" fillId="0" borderId="0" applyNumberFormat="0" applyFill="0" applyBorder="0" applyProtection="0">
      <alignment vertical="center"/>
    </xf>
    <xf numFmtId="0" fontId="133" fillId="0" borderId="0" applyNumberFormat="0" applyFill="0" applyBorder="0" applyAlignment="0" applyProtection="0"/>
    <xf numFmtId="0" fontId="134" fillId="0" borderId="0" applyNumberFormat="0" applyFill="0" applyBorder="0" applyAlignment="0" applyProtection="0"/>
    <xf numFmtId="243" fontId="135" fillId="0" borderId="13" applyNumberFormat="0" applyFill="0" applyBorder="0" applyAlignment="0" applyProtection="0"/>
    <xf numFmtId="0" fontId="136" fillId="0" borderId="0" applyNumberFormat="0" applyFill="0" applyBorder="0" applyAlignment="0" applyProtection="0"/>
    <xf numFmtId="0" fontId="85" fillId="0" borderId="0">
      <alignment vertical="top" wrapText="1"/>
      <protection/>
    </xf>
    <xf numFmtId="3" fontId="20" fillId="51" borderId="14">
      <alignment horizontal="right" vertical="top" wrapText="1"/>
      <protection/>
    </xf>
    <xf numFmtId="0" fontId="250" fillId="52"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38" fontId="6" fillId="53" borderId="0" applyNumberFormat="0" applyBorder="0" applyAlignment="0" applyProtection="0"/>
    <xf numFmtId="244" fontId="12" fillId="2" borderId="0" applyBorder="0" applyProtection="0">
      <alignment/>
    </xf>
    <xf numFmtId="0" fontId="138" fillId="0" borderId="15" applyNumberFormat="0" applyFill="0" applyBorder="0" applyAlignment="0" applyProtection="0"/>
    <xf numFmtId="0" fontId="139" fillId="0" borderId="0" applyNumberFormat="0" applyFont="0" applyBorder="0" applyAlignment="0">
      <protection/>
    </xf>
    <xf numFmtId="0" fontId="140" fillId="54" borderId="0">
      <alignment/>
      <protection/>
    </xf>
    <xf numFmtId="0" fontId="60" fillId="0" borderId="0">
      <alignment horizontal="left"/>
      <protection/>
    </xf>
    <xf numFmtId="0" fontId="50" fillId="0" borderId="16" applyNumberFormat="0" applyAlignment="0" applyProtection="0"/>
    <xf numFmtId="0" fontId="50" fillId="0" borderId="17">
      <alignment horizontal="left" vertical="center"/>
      <protection/>
    </xf>
    <xf numFmtId="245" fontId="141" fillId="55" borderId="0">
      <alignment horizontal="left" vertical="top"/>
      <protection/>
    </xf>
    <xf numFmtId="0" fontId="251" fillId="0" borderId="18"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19"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252" fillId="0" borderId="20"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4" fillId="0" borderId="21"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53" fillId="0" borderId="22"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145" fillId="0" borderId="23" applyNumberFormat="0" applyFill="0" applyAlignment="0" applyProtection="0"/>
    <xf numFmtId="0" fontId="253"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246" fontId="146" fillId="0" borderId="0">
      <alignment/>
      <protection locked="0"/>
    </xf>
    <xf numFmtId="246" fontId="146" fillId="0" borderId="0">
      <alignment/>
      <protection locked="0"/>
    </xf>
    <xf numFmtId="0" fontId="147" fillId="0" borderId="24">
      <alignment horizontal="center"/>
      <protection/>
    </xf>
    <xf numFmtId="0" fontId="147" fillId="0" borderId="0">
      <alignment horizontal="center"/>
      <protection/>
    </xf>
    <xf numFmtId="5" fontId="148" fillId="56" borderId="1" applyNumberFormat="0" applyAlignment="0">
      <protection/>
    </xf>
    <xf numFmtId="49" fontId="149" fillId="0" borderId="1">
      <alignment vertical="center"/>
      <protection/>
    </xf>
    <xf numFmtId="0" fontId="1" fillId="0" borderId="0">
      <alignment/>
      <protection/>
    </xf>
    <xf numFmtId="192" fontId="20" fillId="0" borderId="0" applyFont="0" applyFill="0" applyBorder="0" applyAlignment="0" applyProtection="0"/>
    <xf numFmtId="38" fontId="84" fillId="0" borderId="0" applyFont="0" applyFill="0" applyBorder="0" applyAlignment="0" applyProtection="0"/>
    <xf numFmtId="41" fontId="83" fillId="0" borderId="0" applyFont="0" applyFill="0" applyBorder="0" applyAlignment="0" applyProtection="0"/>
    <xf numFmtId="247" fontId="150" fillId="0" borderId="0" applyFont="0" applyFill="0" applyBorder="0" applyAlignment="0" applyProtection="0"/>
    <xf numFmtId="0" fontId="151" fillId="55" borderId="0">
      <alignment horizontal="left" wrapText="1" indent="2"/>
      <protection/>
    </xf>
    <xf numFmtId="0" fontId="254" fillId="57" borderId="6" applyNumberFormat="0" applyAlignment="0" applyProtection="0"/>
    <xf numFmtId="10" fontId="6" fillId="53" borderId="1" applyNumberFormat="0" applyBorder="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152" fillId="16" borderId="7" applyNumberFormat="0" applyAlignment="0" applyProtection="0"/>
    <xf numFmtId="0" fontId="0" fillId="58" borderId="0">
      <alignment/>
      <protection/>
    </xf>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3" fillId="0" borderId="0" applyNumberFormat="0" applyFill="0" applyBorder="0" applyAlignment="0" applyProtection="0"/>
    <xf numFmtId="192" fontId="20" fillId="0" borderId="0" applyFont="0" applyFill="0" applyBorder="0" applyAlignment="0" applyProtection="0"/>
    <xf numFmtId="0" fontId="20" fillId="0" borderId="0">
      <alignment/>
      <protection/>
    </xf>
    <xf numFmtId="0" fontId="16" fillId="0" borderId="25">
      <alignment horizontal="centerContinuous"/>
      <protection/>
    </xf>
    <xf numFmtId="2" fontId="156" fillId="0" borderId="0" applyNumberFormat="0" applyFill="0">
      <alignment horizontal="center"/>
      <protection/>
    </xf>
    <xf numFmtId="174" fontId="20" fillId="58" borderId="14">
      <alignment vertical="top" wrapText="1"/>
      <protection/>
    </xf>
    <xf numFmtId="0" fontId="0" fillId="0" borderId="0">
      <alignment/>
      <protection/>
    </xf>
    <xf numFmtId="0" fontId="0" fillId="0" borderId="0">
      <alignment/>
      <protection/>
    </xf>
    <xf numFmtId="0" fontId="84" fillId="0" borderId="0">
      <alignment/>
      <protection/>
    </xf>
    <xf numFmtId="0" fontId="0" fillId="0" borderId="0">
      <alignment/>
      <protection/>
    </xf>
    <xf numFmtId="0" fontId="1" fillId="0" borderId="0" applyNumberFormat="0" applyFont="0" applyFill="0" applyBorder="0" applyProtection="0">
      <alignment horizontal="left" vertical="center"/>
    </xf>
    <xf numFmtId="221" fontId="0" fillId="0" borderId="0" applyFill="0" applyBorder="0" applyAlignment="0">
      <protection/>
    </xf>
    <xf numFmtId="217" fontId="0" fillId="0" borderId="0" applyFill="0" applyBorder="0" applyAlignment="0">
      <protection/>
    </xf>
    <xf numFmtId="221" fontId="0" fillId="0" borderId="0" applyFill="0" applyBorder="0" applyAlignment="0">
      <protection/>
    </xf>
    <xf numFmtId="222" fontId="0" fillId="0" borderId="0" applyFill="0" applyBorder="0" applyAlignment="0">
      <protection/>
    </xf>
    <xf numFmtId="217" fontId="0" fillId="0" borderId="0" applyFill="0" applyBorder="0" applyAlignment="0">
      <protection/>
    </xf>
    <xf numFmtId="0" fontId="255" fillId="0" borderId="26"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157" fillId="0" borderId="27" applyNumberFormat="0" applyFill="0" applyAlignment="0" applyProtection="0"/>
    <xf numFmtId="0" fontId="0" fillId="59" borderId="0">
      <alignment/>
      <protection/>
    </xf>
    <xf numFmtId="181" fontId="158" fillId="0" borderId="28" applyNumberFormat="0" applyFont="0" applyFill="0" applyBorder="0">
      <alignment horizontal="center"/>
      <protection/>
    </xf>
    <xf numFmtId="248" fontId="0" fillId="0" borderId="0" applyFont="0" applyFill="0" applyBorder="0" applyAlignment="0" applyProtection="0"/>
    <xf numFmtId="249"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0" fontId="161" fillId="0" borderId="29">
      <alignment/>
      <protection/>
    </xf>
    <xf numFmtId="0" fontId="159" fillId="0" borderId="24">
      <alignment/>
      <protection/>
    </xf>
    <xf numFmtId="250" fontId="160" fillId="0" borderId="28">
      <alignment/>
      <protection/>
    </xf>
    <xf numFmtId="251" fontId="0" fillId="0" borderId="0" applyFont="0" applyFill="0" applyBorder="0" applyAlignment="0" applyProtection="0"/>
    <xf numFmtId="25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53" fontId="0" fillId="0" borderId="0" applyFont="0" applyFill="0" applyBorder="0" applyAlignment="0" applyProtection="0"/>
    <xf numFmtId="254" fontId="0" fillId="0" borderId="0" applyFont="0" applyFill="0" applyBorder="0" applyAlignment="0" applyProtection="0"/>
    <xf numFmtId="0" fontId="43" fillId="0" borderId="0" applyNumberFormat="0" applyFont="0" applyFill="0" applyAlignment="0">
      <protection/>
    </xf>
    <xf numFmtId="0" fontId="256" fillId="60"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162" fillId="61" borderId="0" applyNumberFormat="0" applyBorder="0" applyAlignment="0" applyProtection="0"/>
    <xf numFmtId="0" fontId="40" fillId="0" borderId="1">
      <alignment/>
      <protection/>
    </xf>
    <xf numFmtId="0" fontId="1" fillId="0" borderId="0">
      <alignment/>
      <protection/>
    </xf>
    <xf numFmtId="0" fontId="68" fillId="0" borderId="29" applyNumberFormat="0" applyAlignment="0">
      <protection/>
    </xf>
    <xf numFmtId="37" fontId="163" fillId="0" borderId="0">
      <alignment/>
      <protection/>
    </xf>
    <xf numFmtId="0" fontId="164" fillId="0" borderId="1" applyNumberFormat="0" applyFont="0" applyFill="0" applyBorder="0" applyAlignment="0">
      <protection/>
    </xf>
    <xf numFmtId="255" fontId="78" fillId="0" borderId="0">
      <alignment/>
      <protection/>
    </xf>
    <xf numFmtId="0" fontId="89" fillId="0" borderId="0">
      <alignment/>
      <protection/>
    </xf>
    <xf numFmtId="0" fontId="15" fillId="0" borderId="0">
      <alignment/>
      <protection/>
    </xf>
    <xf numFmtId="0" fontId="2" fillId="0" borderId="0">
      <alignment/>
      <protection/>
    </xf>
    <xf numFmtId="0" fontId="2" fillId="0" borderId="0">
      <alignment/>
      <protection/>
    </xf>
    <xf numFmtId="0" fontId="257" fillId="0" borderId="0">
      <alignment/>
      <protection/>
    </xf>
    <xf numFmtId="0" fontId="68" fillId="0" borderId="0">
      <alignment/>
      <protection/>
    </xf>
    <xf numFmtId="0" fontId="258" fillId="0" borderId="0">
      <alignment/>
      <protection/>
    </xf>
    <xf numFmtId="0" fontId="68" fillId="0" borderId="0">
      <alignment/>
      <protection/>
    </xf>
    <xf numFmtId="0" fontId="68" fillId="0" borderId="0">
      <alignment/>
      <protection/>
    </xf>
    <xf numFmtId="0" fontId="43" fillId="0" borderId="0">
      <alignment/>
      <protection/>
    </xf>
    <xf numFmtId="0" fontId="68" fillId="0" borderId="0">
      <alignment/>
      <protection/>
    </xf>
    <xf numFmtId="0" fontId="68" fillId="0" borderId="0">
      <alignment/>
      <protection/>
    </xf>
    <xf numFmtId="0" fontId="68" fillId="0" borderId="0">
      <alignment/>
      <protection/>
    </xf>
    <xf numFmtId="0" fontId="2" fillId="0" borderId="0">
      <alignment/>
      <protection/>
    </xf>
    <xf numFmtId="0" fontId="66" fillId="0" borderId="0">
      <alignment/>
      <protection/>
    </xf>
    <xf numFmtId="0" fontId="2" fillId="0" borderId="0">
      <alignment/>
      <protection/>
    </xf>
    <xf numFmtId="0" fontId="2" fillId="0" borderId="0">
      <alignment/>
      <protection/>
    </xf>
    <xf numFmtId="0" fontId="258" fillId="0" borderId="0">
      <alignment/>
      <protection/>
    </xf>
    <xf numFmtId="0" fontId="2" fillId="0" borderId="0">
      <alignment/>
      <protection/>
    </xf>
    <xf numFmtId="0" fontId="20" fillId="0" borderId="0">
      <alignment/>
      <protection/>
    </xf>
    <xf numFmtId="0" fontId="257"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66" fillId="0" borderId="0">
      <alignment/>
      <protection/>
    </xf>
    <xf numFmtId="0" fontId="259" fillId="0" borderId="0">
      <alignment/>
      <protection/>
    </xf>
    <xf numFmtId="0" fontId="257" fillId="0" borderId="0">
      <alignment/>
      <protection/>
    </xf>
    <xf numFmtId="0" fontId="258" fillId="0" borderId="0">
      <alignment/>
      <protection/>
    </xf>
    <xf numFmtId="0" fontId="259" fillId="0" borderId="0">
      <alignment/>
      <protection/>
    </xf>
    <xf numFmtId="0" fontId="258" fillId="0" borderId="0">
      <alignment/>
      <protection/>
    </xf>
    <xf numFmtId="0" fontId="42" fillId="0" borderId="0">
      <alignment/>
      <protection/>
    </xf>
    <xf numFmtId="0" fontId="0" fillId="0" borderId="0">
      <alignment/>
      <protection/>
    </xf>
    <xf numFmtId="0" fontId="258" fillId="0" borderId="0">
      <alignment/>
      <protection/>
    </xf>
    <xf numFmtId="0" fontId="257" fillId="0" borderId="0">
      <alignment/>
      <protection/>
    </xf>
    <xf numFmtId="0" fontId="0" fillId="0" borderId="0">
      <alignment/>
      <protection/>
    </xf>
    <xf numFmtId="0" fontId="20" fillId="0" borderId="0">
      <alignment/>
      <protection/>
    </xf>
    <xf numFmtId="0" fontId="258" fillId="0" borderId="0">
      <alignment/>
      <protection/>
    </xf>
    <xf numFmtId="0" fontId="106" fillId="0" borderId="0">
      <alignment/>
      <protection/>
    </xf>
    <xf numFmtId="0" fontId="66" fillId="0" borderId="0">
      <alignment/>
      <protection/>
    </xf>
    <xf numFmtId="0" fontId="244" fillId="0" borderId="0">
      <alignment/>
      <protection/>
    </xf>
    <xf numFmtId="0" fontId="2" fillId="0" borderId="0">
      <alignment/>
      <protection/>
    </xf>
    <xf numFmtId="0" fontId="9" fillId="0" borderId="0">
      <alignment/>
      <protection/>
    </xf>
    <xf numFmtId="0" fontId="20" fillId="0" borderId="0">
      <alignment/>
      <protection/>
    </xf>
    <xf numFmtId="0" fontId="9" fillId="0" borderId="0">
      <alignment/>
      <protection/>
    </xf>
    <xf numFmtId="0" fontId="20" fillId="0" borderId="0">
      <alignment/>
      <protection/>
    </xf>
    <xf numFmtId="0" fontId="20" fillId="0" borderId="0">
      <alignment/>
      <protection/>
    </xf>
    <xf numFmtId="0" fontId="42" fillId="0" borderId="0">
      <alignment/>
      <protection/>
    </xf>
    <xf numFmtId="0" fontId="20" fillId="0" borderId="0">
      <alignment/>
      <protection/>
    </xf>
    <xf numFmtId="0" fontId="2" fillId="0" borderId="0">
      <alignment/>
      <protection/>
    </xf>
    <xf numFmtId="0" fontId="0"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 fillId="0" borderId="0">
      <alignment/>
      <protection/>
    </xf>
    <xf numFmtId="0" fontId="258" fillId="0" borderId="0">
      <alignment/>
      <protection/>
    </xf>
    <xf numFmtId="0" fontId="258" fillId="0" borderId="0">
      <alignment/>
      <protection/>
    </xf>
    <xf numFmtId="0" fontId="258"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9" fillId="0" borderId="0">
      <alignment/>
      <protection/>
    </xf>
    <xf numFmtId="0" fontId="244" fillId="0" borderId="0">
      <alignment/>
      <protection/>
    </xf>
    <xf numFmtId="0" fontId="0" fillId="0" borderId="0">
      <alignment/>
      <protection/>
    </xf>
    <xf numFmtId="0" fontId="258" fillId="0" borderId="0">
      <alignment/>
      <protection/>
    </xf>
    <xf numFmtId="0" fontId="43" fillId="0" borderId="0">
      <alignment/>
      <protection/>
    </xf>
    <xf numFmtId="0" fontId="43"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60" fillId="0" borderId="0">
      <alignment/>
      <protection/>
    </xf>
    <xf numFmtId="0" fontId="244" fillId="0" borderId="0">
      <alignment/>
      <protection/>
    </xf>
    <xf numFmtId="0" fontId="0" fillId="0" borderId="0">
      <alignment/>
      <protection/>
    </xf>
    <xf numFmtId="0" fontId="0" fillId="0" borderId="0">
      <alignment/>
      <protection/>
    </xf>
    <xf numFmtId="0" fontId="43"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8" fillId="0" borderId="0">
      <alignment/>
      <protection/>
    </xf>
    <xf numFmtId="0" fontId="257" fillId="0" borderId="0">
      <alignment/>
      <protection/>
    </xf>
    <xf numFmtId="0" fontId="258" fillId="0" borderId="0">
      <alignment/>
      <protection/>
    </xf>
    <xf numFmtId="0" fontId="258" fillId="0" borderId="0">
      <alignment/>
      <protection/>
    </xf>
    <xf numFmtId="0" fontId="257" fillId="0" borderId="0">
      <alignment/>
      <protection/>
    </xf>
    <xf numFmtId="0" fontId="0" fillId="0" borderId="0">
      <alignment/>
      <protection/>
    </xf>
    <xf numFmtId="0" fontId="0" fillId="0" borderId="0">
      <alignment/>
      <protection/>
    </xf>
    <xf numFmtId="0" fontId="261" fillId="0" borderId="0">
      <alignment/>
      <protection/>
    </xf>
    <xf numFmtId="0" fontId="2" fillId="0" borderId="0">
      <alignment/>
      <protection/>
    </xf>
    <xf numFmtId="0" fontId="118" fillId="0" borderId="0">
      <alignment/>
      <protection/>
    </xf>
    <xf numFmtId="0" fontId="2" fillId="0" borderId="0">
      <alignment/>
      <protection/>
    </xf>
    <xf numFmtId="0" fontId="0" fillId="0" borderId="0">
      <alignment/>
      <protection/>
    </xf>
    <xf numFmtId="0" fontId="2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1" fillId="0" borderId="0">
      <alignment/>
      <protection/>
    </xf>
    <xf numFmtId="0" fontId="2" fillId="0" borderId="0">
      <alignment/>
      <protection/>
    </xf>
    <xf numFmtId="0" fontId="261" fillId="0" borderId="0">
      <alignment/>
      <protection/>
    </xf>
    <xf numFmtId="0" fontId="165"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0" fillId="0" borderId="0">
      <alignment/>
      <protection/>
    </xf>
    <xf numFmtId="0" fontId="42"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68"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91" fillId="0" borderId="0" applyFont="0">
      <alignment/>
      <protection/>
    </xf>
    <xf numFmtId="0" fontId="126" fillId="0" borderId="0">
      <alignment/>
      <protection/>
    </xf>
    <xf numFmtId="0" fontId="0" fillId="62" borderId="30"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42"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0" fontId="166" fillId="55" borderId="31" applyNumberFormat="0" applyFont="0" applyAlignment="0" applyProtection="0"/>
    <xf numFmtId="256" fontId="167" fillId="0" borderId="0" applyFont="0" applyFill="0" applyBorder="0" applyProtection="0">
      <alignment vertical="top" wrapText="1"/>
    </xf>
    <xf numFmtId="0" fontId="68" fillId="0" borderId="0">
      <alignment/>
      <protection/>
    </xf>
    <xf numFmtId="193" fontId="168" fillId="0" borderId="0" applyFont="0" applyFill="0" applyBorder="0" applyAlignment="0" applyProtection="0"/>
    <xf numFmtId="192" fontId="168" fillId="0" borderId="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0" fillId="0" borderId="0" applyFont="0" applyFill="0" applyBorder="0" applyAlignment="0" applyProtection="0"/>
    <xf numFmtId="0" fontId="1" fillId="0" borderId="0">
      <alignment/>
      <protection/>
    </xf>
    <xf numFmtId="0" fontId="262" fillId="48" borderId="32"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0" fontId="170" fillId="2" borderId="33" applyNumberFormat="0" applyAlignment="0" applyProtection="0"/>
    <xf numFmtId="184" fontId="171" fillId="0" borderId="29" applyFont="0" applyBorder="0" applyAlignment="0">
      <protection/>
    </xf>
    <xf numFmtId="41" fontId="0" fillId="0" borderId="0" applyFont="0" applyFill="0" applyBorder="0" applyAlignment="0" applyProtection="0"/>
    <xf numFmtId="14" fontId="16" fillId="0" borderId="0">
      <alignment horizontal="center" wrapText="1"/>
      <protection locked="0"/>
    </xf>
    <xf numFmtId="9" fontId="0" fillId="0" borderId="0" applyFont="0" applyFill="0" applyBorder="0" applyAlignment="0" applyProtection="0"/>
    <xf numFmtId="220" fontId="0" fillId="0" borderId="0" applyFont="0" applyFill="0" applyBorder="0" applyAlignment="0" applyProtection="0"/>
    <xf numFmtId="257" fontId="0" fillId="0" borderId="0" applyFont="0" applyFill="0" applyBorder="0" applyAlignment="0" applyProtection="0"/>
    <xf numFmtId="10" fontId="0"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84" fillId="0" borderId="34" applyNumberFormat="0" applyBorder="0">
      <alignment/>
      <protection/>
    </xf>
    <xf numFmtId="221" fontId="0" fillId="0" borderId="0" applyFill="0" applyBorder="0" applyAlignment="0">
      <protection/>
    </xf>
    <xf numFmtId="217" fontId="0" fillId="0" borderId="0" applyFill="0" applyBorder="0" applyAlignment="0">
      <protection/>
    </xf>
    <xf numFmtId="221" fontId="0" fillId="0" borderId="0" applyFill="0" applyBorder="0" applyAlignment="0">
      <protection/>
    </xf>
    <xf numFmtId="222" fontId="0" fillId="0" borderId="0" applyFill="0" applyBorder="0" applyAlignment="0">
      <protection/>
    </xf>
    <xf numFmtId="217" fontId="0" fillId="0" borderId="0" applyFill="0" applyBorder="0" applyAlignment="0">
      <protection/>
    </xf>
    <xf numFmtId="164" fontId="172" fillId="0" borderId="0">
      <alignment/>
      <protection/>
    </xf>
    <xf numFmtId="0" fontId="84" fillId="0" borderId="0" applyNumberFormat="0" applyFont="0" applyFill="0" applyBorder="0" applyAlignment="0" applyProtection="0"/>
    <xf numFmtId="0" fontId="173" fillId="0" borderId="24">
      <alignment horizontal="center"/>
      <protection/>
    </xf>
    <xf numFmtId="0" fontId="174" fillId="63" borderId="0" applyNumberFormat="0" applyFont="0" applyBorder="0" applyAlignment="0">
      <protection/>
    </xf>
    <xf numFmtId="258" fontId="0" fillId="0" borderId="0" applyNumberFormat="0" applyFill="0" applyBorder="0" applyAlignment="0" applyProtection="0"/>
    <xf numFmtId="0" fontId="154" fillId="0" borderId="0" applyNumberFormat="0" applyFill="0" applyBorder="0" applyAlignment="0" applyProtection="0"/>
    <xf numFmtId="0" fontId="68" fillId="0" borderId="0">
      <alignment/>
      <protection/>
    </xf>
    <xf numFmtId="41" fontId="83" fillId="0" borderId="0" applyFont="0" applyFill="0" applyBorder="0" applyAlignment="0" applyProtection="0"/>
    <xf numFmtId="0" fontId="20" fillId="0" borderId="0" applyNumberFormat="0" applyFill="0" applyBorder="0" applyAlignment="0" applyProtection="0"/>
    <xf numFmtId="4" fontId="175" fillId="61" borderId="35" applyNumberFormat="0" applyProtection="0">
      <alignment vertical="center"/>
    </xf>
    <xf numFmtId="4" fontId="176" fillId="61" borderId="35" applyNumberFormat="0" applyProtection="0">
      <alignment vertical="center"/>
    </xf>
    <xf numFmtId="4" fontId="177" fillId="61" borderId="35" applyNumberFormat="0" applyProtection="0">
      <alignment horizontal="left" vertical="center"/>
    </xf>
    <xf numFmtId="4" fontId="177" fillId="64" borderId="0" applyNumberFormat="0" applyProtection="0">
      <alignment horizontal="left" vertical="center"/>
    </xf>
    <xf numFmtId="4" fontId="177" fillId="40" borderId="35" applyNumberFormat="0" applyProtection="0">
      <alignment horizontal="right" vertical="center"/>
    </xf>
    <xf numFmtId="4" fontId="177" fillId="8" borderId="35" applyNumberFormat="0" applyProtection="0">
      <alignment horizontal="right" vertical="center"/>
    </xf>
    <xf numFmtId="4" fontId="177" fillId="20" borderId="35" applyNumberFormat="0" applyProtection="0">
      <alignment horizontal="right" vertical="center"/>
    </xf>
    <xf numFmtId="4" fontId="177" fillId="10" borderId="35" applyNumberFormat="0" applyProtection="0">
      <alignment horizontal="right" vertical="center"/>
    </xf>
    <xf numFmtId="4" fontId="177" fillId="26" borderId="35" applyNumberFormat="0" applyProtection="0">
      <alignment horizontal="right" vertical="center"/>
    </xf>
    <xf numFmtId="4" fontId="177" fillId="2" borderId="35" applyNumberFormat="0" applyProtection="0">
      <alignment horizontal="right" vertical="center"/>
    </xf>
    <xf numFmtId="4" fontId="177" fillId="65" borderId="35" applyNumberFormat="0" applyProtection="0">
      <alignment horizontal="right" vertical="center"/>
    </xf>
    <xf numFmtId="4" fontId="177" fillId="42" borderId="35" applyNumberFormat="0" applyProtection="0">
      <alignment horizontal="right" vertical="center"/>
    </xf>
    <xf numFmtId="4" fontId="177" fillId="66" borderId="35" applyNumberFormat="0" applyProtection="0">
      <alignment horizontal="right" vertical="center"/>
    </xf>
    <xf numFmtId="4" fontId="175" fillId="67" borderId="36" applyNumberFormat="0" applyProtection="0">
      <alignment horizontal="left" vertical="center"/>
    </xf>
    <xf numFmtId="4" fontId="175" fillId="18" borderId="0" applyNumberFormat="0" applyProtection="0">
      <alignment horizontal="left" vertical="center"/>
    </xf>
    <xf numFmtId="4" fontId="175" fillId="64" borderId="0" applyNumberFormat="0" applyProtection="0">
      <alignment horizontal="left" vertical="center"/>
    </xf>
    <xf numFmtId="4" fontId="177" fillId="18" borderId="35" applyNumberFormat="0" applyProtection="0">
      <alignment horizontal="right" vertical="center"/>
    </xf>
    <xf numFmtId="4" fontId="66" fillId="18" borderId="0" applyNumberFormat="0" applyProtection="0">
      <alignment horizontal="left" vertical="center"/>
    </xf>
    <xf numFmtId="4" fontId="66" fillId="64" borderId="0" applyNumberFormat="0" applyProtection="0">
      <alignment horizontal="left" vertical="center"/>
    </xf>
    <xf numFmtId="4" fontId="177" fillId="68" borderId="35" applyNumberFormat="0" applyProtection="0">
      <alignment vertical="center"/>
    </xf>
    <xf numFmtId="4" fontId="178" fillId="68" borderId="35" applyNumberFormat="0" applyProtection="0">
      <alignment vertical="center"/>
    </xf>
    <xf numFmtId="4" fontId="175" fillId="18" borderId="37" applyNumberFormat="0" applyProtection="0">
      <alignment horizontal="left" vertical="center"/>
    </xf>
    <xf numFmtId="4" fontId="177" fillId="68" borderId="35" applyNumberFormat="0" applyProtection="0">
      <alignment horizontal="right" vertical="center"/>
    </xf>
    <xf numFmtId="4" fontId="178" fillId="68" borderId="35" applyNumberFormat="0" applyProtection="0">
      <alignment horizontal="right" vertical="center"/>
    </xf>
    <xf numFmtId="4" fontId="175" fillId="18" borderId="35" applyNumberFormat="0" applyProtection="0">
      <alignment horizontal="left" vertical="center"/>
    </xf>
    <xf numFmtId="4" fontId="179" fillId="56" borderId="37" applyNumberFormat="0" applyProtection="0">
      <alignment horizontal="left" vertical="center"/>
    </xf>
    <xf numFmtId="4" fontId="180" fillId="68" borderId="35" applyNumberFormat="0" applyProtection="0">
      <alignment horizontal="right" vertical="center"/>
    </xf>
    <xf numFmtId="259" fontId="88" fillId="0" borderId="0" applyFont="0" applyFill="0" applyBorder="0" applyAlignment="0" applyProtection="0"/>
    <xf numFmtId="0" fontId="174" fillId="1" borderId="17" applyNumberFormat="0" applyFont="0" applyAlignment="0">
      <protection/>
    </xf>
    <xf numFmtId="0" fontId="181" fillId="0" borderId="0" applyNumberFormat="0" applyFill="0" applyBorder="0" applyAlignment="0" applyProtection="0"/>
    <xf numFmtId="3" fontId="70" fillId="0" borderId="0">
      <alignment/>
      <protection/>
    </xf>
    <xf numFmtId="0" fontId="182" fillId="0" borderId="0" applyNumberFormat="0" applyFill="0" applyBorder="0" applyAlignment="0" applyProtection="0"/>
    <xf numFmtId="0" fontId="183" fillId="0" borderId="0" applyNumberFormat="0" applyFill="0" applyBorder="0" applyAlignment="0">
      <protection/>
    </xf>
    <xf numFmtId="0" fontId="0" fillId="0" borderId="0">
      <alignment/>
      <protection/>
    </xf>
    <xf numFmtId="184" fontId="184" fillId="0" borderId="0" applyNumberFormat="0" applyBorder="0" applyAlignment="0">
      <protection/>
    </xf>
    <xf numFmtId="0" fontId="24" fillId="0" borderId="0">
      <alignment/>
      <protection/>
    </xf>
    <xf numFmtId="0" fontId="84" fillId="0" borderId="0">
      <alignment/>
      <protection/>
    </xf>
    <xf numFmtId="0" fontId="68" fillId="0" borderId="0" applyNumberFormat="0" applyFill="0" applyBorder="0" applyAlignment="0" applyProtection="0"/>
    <xf numFmtId="184" fontId="122"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84" fontId="122" fillId="0" borderId="0" applyFont="0" applyFill="0" applyBorder="0" applyAlignment="0" applyProtection="0"/>
    <xf numFmtId="184" fontId="122" fillId="0" borderId="0" applyFont="0" applyFill="0" applyBorder="0" applyAlignment="0" applyProtection="0"/>
    <xf numFmtId="41"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99" fontId="83" fillId="0" borderId="0" applyFont="0" applyFill="0" applyBorder="0" applyAlignment="0" applyProtection="0"/>
    <xf numFmtId="41"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2" fontId="83" fillId="0" borderId="0" applyFont="0" applyFill="0" applyBorder="0" applyAlignment="0" applyProtection="0"/>
    <xf numFmtId="202" fontId="83" fillId="0" borderId="0" applyFont="0" applyFill="0" applyBorder="0" applyAlignment="0" applyProtection="0"/>
    <xf numFmtId="203" fontId="70" fillId="0" borderId="0" applyFont="0" applyFill="0" applyBorder="0" applyAlignment="0" applyProtection="0"/>
    <xf numFmtId="203" fontId="83" fillId="0" borderId="0" applyFont="0" applyFill="0" applyBorder="0" applyAlignment="0" applyProtection="0"/>
    <xf numFmtId="0" fontId="68" fillId="0" borderId="0">
      <alignment/>
      <protection/>
    </xf>
    <xf numFmtId="260" fontId="40"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99"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14" fontId="185" fillId="0" borderId="0">
      <alignment/>
      <protection/>
    </xf>
    <xf numFmtId="0" fontId="186" fillId="0" borderId="0">
      <alignment/>
      <protection/>
    </xf>
    <xf numFmtId="183" fontId="68" fillId="0" borderId="38" applyNumberFormat="0" applyBorder="0">
      <alignment horizontal="center"/>
      <protection/>
    </xf>
    <xf numFmtId="0" fontId="159" fillId="0" borderId="0">
      <alignment/>
      <protection/>
    </xf>
    <xf numFmtId="0" fontId="187" fillId="55" borderId="0">
      <alignment wrapText="1"/>
      <protection/>
    </xf>
    <xf numFmtId="40" fontId="188" fillId="0" borderId="0" applyBorder="0">
      <alignment horizontal="right"/>
      <protection/>
    </xf>
    <xf numFmtId="261" fontId="20" fillId="0" borderId="39">
      <alignment horizontal="right" vertical="center"/>
      <protection/>
    </xf>
    <xf numFmtId="262" fontId="106" fillId="0" borderId="39">
      <alignment horizontal="right" vertical="center"/>
      <protection/>
    </xf>
    <xf numFmtId="263" fontId="106" fillId="0" borderId="39">
      <alignment horizontal="right" vertical="center"/>
      <protection/>
    </xf>
    <xf numFmtId="263" fontId="106" fillId="0" borderId="39">
      <alignment horizontal="right" vertical="center"/>
      <protection/>
    </xf>
    <xf numFmtId="264" fontId="189" fillId="0" borderId="39">
      <alignment horizontal="right" vertical="center"/>
      <protection/>
    </xf>
    <xf numFmtId="262" fontId="40" fillId="0" borderId="39">
      <alignment horizontal="right" vertical="center"/>
      <protection/>
    </xf>
    <xf numFmtId="249" fontId="106"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3" fontId="106" fillId="0" borderId="39">
      <alignment horizontal="right" vertical="center"/>
      <protection/>
    </xf>
    <xf numFmtId="263" fontId="106" fillId="0" borderId="39">
      <alignment horizontal="right" vertical="center"/>
      <protection/>
    </xf>
    <xf numFmtId="261" fontId="20" fillId="0" borderId="39">
      <alignment horizontal="right" vertical="center"/>
      <protection/>
    </xf>
    <xf numFmtId="265" fontId="106" fillId="0" borderId="39">
      <alignment horizontal="right" vertical="center"/>
      <protection/>
    </xf>
    <xf numFmtId="265"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6" fontId="20" fillId="0" borderId="39">
      <alignment horizontal="right" vertical="center"/>
      <protection/>
    </xf>
    <xf numFmtId="263" fontId="106" fillId="0" borderId="39">
      <alignment horizontal="right" vertical="center"/>
      <protection/>
    </xf>
    <xf numFmtId="262" fontId="40" fillId="0" borderId="39">
      <alignment horizontal="right" vertical="center"/>
      <protection/>
    </xf>
    <xf numFmtId="266" fontId="20" fillId="0" borderId="39">
      <alignment horizontal="right" vertical="center"/>
      <protection/>
    </xf>
    <xf numFmtId="249" fontId="106" fillId="0" borderId="39">
      <alignment horizontal="right" vertical="center"/>
      <protection/>
    </xf>
    <xf numFmtId="262" fontId="40" fillId="0" borderId="39">
      <alignment horizontal="right" vertical="center"/>
      <protection/>
    </xf>
    <xf numFmtId="263" fontId="106"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7" fontId="20" fillId="0" borderId="39">
      <alignment horizontal="right" vertical="center"/>
      <protection/>
    </xf>
    <xf numFmtId="266" fontId="2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7" fontId="20" fillId="0" borderId="39">
      <alignment horizontal="right" vertical="center"/>
      <protection/>
    </xf>
    <xf numFmtId="263" fontId="106" fillId="0" borderId="39">
      <alignment horizontal="right" vertical="center"/>
      <protection/>
    </xf>
    <xf numFmtId="268" fontId="83" fillId="0" borderId="39">
      <alignment horizontal="right" vertical="center"/>
      <protection/>
    </xf>
    <xf numFmtId="263" fontId="106" fillId="0" borderId="39">
      <alignment horizontal="right" vertical="center"/>
      <protection/>
    </xf>
    <xf numFmtId="262" fontId="40" fillId="0" borderId="39">
      <alignment horizontal="right" vertical="center"/>
      <protection/>
    </xf>
    <xf numFmtId="263" fontId="106" fillId="0" borderId="39">
      <alignment horizontal="right" vertical="center"/>
      <protection/>
    </xf>
    <xf numFmtId="262" fontId="40" fillId="0" borderId="39">
      <alignment horizontal="right" vertical="center"/>
      <protection/>
    </xf>
    <xf numFmtId="262" fontId="106" fillId="0" borderId="39">
      <alignment horizontal="right" vertical="center"/>
      <protection/>
    </xf>
    <xf numFmtId="249" fontId="106" fillId="0" borderId="39">
      <alignment horizontal="right" vertical="center"/>
      <protection/>
    </xf>
    <xf numFmtId="263" fontId="106" fillId="0" borderId="39">
      <alignment horizontal="right" vertical="center"/>
      <protection/>
    </xf>
    <xf numFmtId="266" fontId="2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5" fontId="106" fillId="0" borderId="39">
      <alignment horizontal="right" vertical="center"/>
      <protection/>
    </xf>
    <xf numFmtId="263" fontId="106" fillId="0" borderId="39">
      <alignment horizontal="right" vertical="center"/>
      <protection/>
    </xf>
    <xf numFmtId="265" fontId="106" fillId="0" borderId="39">
      <alignment horizontal="right" vertical="center"/>
      <protection/>
    </xf>
    <xf numFmtId="265" fontId="106" fillId="0" borderId="39">
      <alignment horizontal="right" vertical="center"/>
      <protection/>
    </xf>
    <xf numFmtId="262" fontId="40" fillId="0" borderId="39">
      <alignment horizontal="right" vertical="center"/>
      <protection/>
    </xf>
    <xf numFmtId="265" fontId="106" fillId="0" borderId="39">
      <alignment horizontal="right" vertical="center"/>
      <protection/>
    </xf>
    <xf numFmtId="263" fontId="106" fillId="0" borderId="39">
      <alignment horizontal="right" vertical="center"/>
      <protection/>
    </xf>
    <xf numFmtId="266" fontId="20" fillId="0" borderId="39">
      <alignment horizontal="right" vertical="center"/>
      <protection/>
    </xf>
    <xf numFmtId="262" fontId="40"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62" fontId="40" fillId="0" borderId="39">
      <alignment horizontal="right" vertical="center"/>
      <protection/>
    </xf>
    <xf numFmtId="269" fontId="122"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68" fontId="83" fillId="0" borderId="39">
      <alignment horizontal="right" vertical="center"/>
      <protection/>
    </xf>
    <xf numFmtId="262" fontId="40" fillId="0" borderId="39">
      <alignment horizontal="right" vertical="center"/>
      <protection/>
    </xf>
    <xf numFmtId="249" fontId="106" fillId="0" borderId="39">
      <alignment horizontal="right" vertical="center"/>
      <protection/>
    </xf>
    <xf numFmtId="269" fontId="122" fillId="0" borderId="39">
      <alignment horizontal="right" vertical="center"/>
      <protection/>
    </xf>
    <xf numFmtId="262" fontId="40" fillId="0" borderId="39">
      <alignment horizontal="right" vertical="center"/>
      <protection/>
    </xf>
    <xf numFmtId="270" fontId="190" fillId="2" borderId="40" applyFont="0" applyFill="0" applyBorder="0">
      <alignment/>
      <protection/>
    </xf>
    <xf numFmtId="262" fontId="40" fillId="0" borderId="39">
      <alignment horizontal="right" vertical="center"/>
      <protection/>
    </xf>
    <xf numFmtId="262" fontId="40" fillId="0" borderId="39">
      <alignment horizontal="right" vertical="center"/>
      <protection/>
    </xf>
    <xf numFmtId="270" fontId="190" fillId="2" borderId="40" applyFont="0" applyFill="0" applyBorder="0">
      <alignment/>
      <protection/>
    </xf>
    <xf numFmtId="262" fontId="40" fillId="0" borderId="39">
      <alignment horizontal="right" vertical="center"/>
      <protection/>
    </xf>
    <xf numFmtId="249" fontId="106" fillId="0" borderId="39">
      <alignment horizontal="right" vertical="center"/>
      <protection/>
    </xf>
    <xf numFmtId="269" fontId="122" fillId="0" borderId="39">
      <alignment horizontal="right" vertical="center"/>
      <protection/>
    </xf>
    <xf numFmtId="249" fontId="106" fillId="0" borderId="39">
      <alignment horizontal="right" vertical="center"/>
      <protection/>
    </xf>
    <xf numFmtId="269" fontId="122" fillId="0" borderId="39">
      <alignment horizontal="right" vertical="center"/>
      <protection/>
    </xf>
    <xf numFmtId="267" fontId="20" fillId="0" borderId="39">
      <alignment horizontal="right" vertical="center"/>
      <protection/>
    </xf>
    <xf numFmtId="268" fontId="83" fillId="0" borderId="39">
      <alignment horizontal="right" vertical="center"/>
      <protection/>
    </xf>
    <xf numFmtId="262" fontId="40" fillId="0" borderId="39">
      <alignment horizontal="right" vertical="center"/>
      <protection/>
    </xf>
    <xf numFmtId="262" fontId="106" fillId="0" borderId="39">
      <alignment horizontal="right" vertical="center"/>
      <protection/>
    </xf>
    <xf numFmtId="271" fontId="0" fillId="0" borderId="39">
      <alignment horizontal="right" vertical="center"/>
      <protection/>
    </xf>
    <xf numFmtId="262" fontId="106" fillId="0" borderId="39">
      <alignment horizontal="right" vertical="center"/>
      <protection/>
    </xf>
    <xf numFmtId="267" fontId="20" fillId="0" borderId="39">
      <alignment horizontal="right" vertical="center"/>
      <protection/>
    </xf>
    <xf numFmtId="262" fontId="40" fillId="0" borderId="39">
      <alignment horizontal="right" vertical="center"/>
      <protection/>
    </xf>
    <xf numFmtId="249" fontId="106" fillId="0" borderId="39">
      <alignment horizontal="right" vertical="center"/>
      <protection/>
    </xf>
    <xf numFmtId="265" fontId="106" fillId="0" borderId="39">
      <alignment horizontal="right" vertical="center"/>
      <protection/>
    </xf>
    <xf numFmtId="265" fontId="106" fillId="0" borderId="39">
      <alignment horizontal="right" vertical="center"/>
      <protection/>
    </xf>
    <xf numFmtId="249" fontId="106" fillId="0" borderId="39">
      <alignment horizontal="right" vertical="center"/>
      <protection/>
    </xf>
    <xf numFmtId="263" fontId="106" fillId="0" borderId="39">
      <alignment horizontal="right" vertical="center"/>
      <protection/>
    </xf>
    <xf numFmtId="198" fontId="20"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62" fontId="40" fillId="0" borderId="39">
      <alignment horizontal="right" vertical="center"/>
      <protection/>
    </xf>
    <xf numFmtId="272" fontId="40" fillId="0" borderId="39">
      <alignment horizontal="right" vertical="center"/>
      <protection/>
    </xf>
    <xf numFmtId="265" fontId="106"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62" fontId="40" fillId="0" borderId="39">
      <alignment horizontal="right" vertical="center"/>
      <protection/>
    </xf>
    <xf numFmtId="269" fontId="122" fillId="0" borderId="39">
      <alignment horizontal="right" vertical="center"/>
      <protection/>
    </xf>
    <xf numFmtId="262" fontId="40" fillId="0" borderId="39">
      <alignment horizontal="right" vertical="center"/>
      <protection/>
    </xf>
    <xf numFmtId="27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49" fontId="106" fillId="0" borderId="39">
      <alignment horizontal="right" vertical="center"/>
      <protection/>
    </xf>
    <xf numFmtId="263" fontId="106" fillId="0" borderId="39">
      <alignment horizontal="right" vertical="center"/>
      <protection/>
    </xf>
    <xf numFmtId="262" fontId="40" fillId="0" borderId="39">
      <alignment horizontal="right" vertical="center"/>
      <protection/>
    </xf>
    <xf numFmtId="270" fontId="190" fillId="2" borderId="40" applyFont="0" applyFill="0" applyBorder="0">
      <alignment/>
      <protection/>
    </xf>
    <xf numFmtId="253" fontId="20" fillId="0" borderId="39">
      <alignment horizontal="right" vertical="center"/>
      <protection/>
    </xf>
    <xf numFmtId="263" fontId="106" fillId="0" borderId="39">
      <alignment horizontal="right" vertical="center"/>
      <protection/>
    </xf>
    <xf numFmtId="262" fontId="40" fillId="0" borderId="39">
      <alignment horizontal="right" vertical="center"/>
      <protection/>
    </xf>
    <xf numFmtId="264" fontId="189" fillId="0" borderId="39">
      <alignment horizontal="right" vertical="center"/>
      <protection/>
    </xf>
    <xf numFmtId="262" fontId="40" fillId="0" borderId="39">
      <alignment horizontal="right" vertical="center"/>
      <protection/>
    </xf>
    <xf numFmtId="198" fontId="20" fillId="0" borderId="39">
      <alignment horizontal="right" vertical="center"/>
      <protection/>
    </xf>
    <xf numFmtId="273" fontId="20" fillId="0" borderId="39">
      <alignment horizontal="right" vertical="center"/>
      <protection/>
    </xf>
    <xf numFmtId="249" fontId="106" fillId="0" borderId="39">
      <alignment horizontal="right" vertical="center"/>
      <protection/>
    </xf>
    <xf numFmtId="265" fontId="106" fillId="0" borderId="39">
      <alignment horizontal="right" vertical="center"/>
      <protection/>
    </xf>
    <xf numFmtId="262" fontId="40" fillId="0" borderId="39">
      <alignment horizontal="right" vertical="center"/>
      <protection/>
    </xf>
    <xf numFmtId="249" fontId="106" fillId="0" borderId="39">
      <alignment horizontal="right" vertical="center"/>
      <protection/>
    </xf>
    <xf numFmtId="249" fontId="106" fillId="0" borderId="39">
      <alignment horizontal="right" vertical="center"/>
      <protection/>
    </xf>
    <xf numFmtId="262" fontId="40" fillId="0" borderId="39">
      <alignment horizontal="right" vertical="center"/>
      <protection/>
    </xf>
    <xf numFmtId="262" fontId="40" fillId="0" borderId="39">
      <alignment horizontal="right" vertical="center"/>
      <protection/>
    </xf>
    <xf numFmtId="274" fontId="191" fillId="0" borderId="39">
      <alignment horizontal="right" vertical="center"/>
      <protection/>
    </xf>
    <xf numFmtId="49" fontId="66" fillId="0" borderId="0" applyFill="0" applyBorder="0" applyAlignment="0">
      <protection/>
    </xf>
    <xf numFmtId="275" fontId="0" fillId="0" borderId="0" applyFill="0" applyBorder="0" applyAlignment="0">
      <protection/>
    </xf>
    <xf numFmtId="15" fontId="0" fillId="0" borderId="0" applyFill="0" applyBorder="0" applyAlignment="0">
      <protection/>
    </xf>
    <xf numFmtId="199" fontId="20" fillId="0" borderId="39">
      <alignment horizontal="center"/>
      <protection/>
    </xf>
    <xf numFmtId="277" fontId="200" fillId="0" borderId="0" applyNumberFormat="0" applyFont="0" applyFill="0" applyBorder="0" applyAlignment="0">
      <protection/>
    </xf>
    <xf numFmtId="0" fontId="78" fillId="0" borderId="0">
      <alignment vertical="center" wrapText="1"/>
      <protection locked="0"/>
    </xf>
    <xf numFmtId="0" fontId="85" fillId="0" borderId="41">
      <alignment/>
      <protection/>
    </xf>
    <xf numFmtId="0" fontId="40" fillId="0" borderId="0" applyNumberFormat="0" applyFill="0" applyBorder="0" applyAlignment="0" applyProtection="0"/>
    <xf numFmtId="0" fontId="0"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22" fillId="0" borderId="29" applyNumberFormat="0" applyBorder="0" applyAlignment="0">
      <protection/>
    </xf>
    <xf numFmtId="0" fontId="201" fillId="0" borderId="28" applyNumberFormat="0" applyBorder="0" applyAlignment="0">
      <protection/>
    </xf>
    <xf numFmtId="3" fontId="202" fillId="0" borderId="15" applyNumberFormat="0" applyBorder="0" applyAlignment="0">
      <protection/>
    </xf>
    <xf numFmtId="49" fontId="192" fillId="0" borderId="0">
      <alignment horizontal="justify" vertical="center" wrapText="1"/>
      <protection/>
    </xf>
    <xf numFmtId="0" fontId="193" fillId="0" borderId="29">
      <alignment horizontal="center" vertical="center" wrapText="1"/>
      <protection/>
    </xf>
    <xf numFmtId="0" fontId="194" fillId="0" borderId="0">
      <alignment horizontal="center"/>
      <protection/>
    </xf>
    <xf numFmtId="40" fontId="12" fillId="0" borderId="0">
      <alignment/>
      <protection/>
    </xf>
    <xf numFmtId="0" fontId="195" fillId="0" borderId="29">
      <alignment/>
      <protection/>
    </xf>
    <xf numFmtId="3" fontId="196" fillId="0" borderId="0" applyNumberFormat="0" applyFill="0" applyBorder="0" applyAlignment="0" applyProtection="0"/>
    <xf numFmtId="0" fontId="197" fillId="0" borderId="42" applyBorder="0" applyAlignment="0">
      <protection/>
    </xf>
    <xf numFmtId="0" fontId="198" fillId="0" borderId="0" applyNumberFormat="0" applyFill="0" applyBorder="0" applyAlignment="0" applyProtection="0"/>
    <xf numFmtId="0" fontId="138" fillId="0" borderId="43" applyNumberFormat="0" applyFill="0" applyBorder="0" applyAlignment="0" applyProtection="0"/>
    <xf numFmtId="0" fontId="263"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99" fillId="0" borderId="44" applyNumberFormat="0" applyBorder="0" applyAlignment="0">
      <protection/>
    </xf>
    <xf numFmtId="0" fontId="264" fillId="0" borderId="45" applyNumberForma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69" fillId="0" borderId="46" applyNumberForma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0" fillId="0" borderId="5" applyNumberFormat="0" applyFont="0" applyFill="0" applyAlignment="0" applyProtection="0"/>
    <xf numFmtId="0" fontId="160" fillId="0" borderId="47" applyNumberFormat="0" applyAlignment="0">
      <protection/>
    </xf>
    <xf numFmtId="0" fontId="0" fillId="0" borderId="0">
      <alignment/>
      <protection/>
    </xf>
    <xf numFmtId="0" fontId="195" fillId="0" borderId="48">
      <alignment horizontal="center"/>
      <protection/>
    </xf>
    <xf numFmtId="192" fontId="0" fillId="0" borderId="0" applyFont="0" applyFill="0" applyBorder="0" applyAlignment="0" applyProtection="0"/>
    <xf numFmtId="276" fontId="0" fillId="0" borderId="0" applyFont="0" applyFill="0" applyBorder="0" applyAlignment="0" applyProtection="0"/>
    <xf numFmtId="275" fontId="0" fillId="0" borderId="49" applyFont="0" applyFill="0" applyBorder="0" applyProtection="0">
      <alignment horizontal="center"/>
    </xf>
    <xf numFmtId="278" fontId="22" fillId="0" borderId="50" applyFont="0" applyFill="0" applyBorder="0" applyProtection="0">
      <alignment horizontal="center"/>
    </xf>
    <xf numFmtId="38" fontId="0" fillId="0" borderId="1" applyFont="0" applyFill="0" applyBorder="0" applyAlignment="0" applyProtection="0"/>
    <xf numFmtId="15" fontId="0" fillId="0" borderId="1" applyFont="0" applyFill="0" applyBorder="0" applyProtection="0">
      <alignment horizontal="center"/>
    </xf>
    <xf numFmtId="10" fontId="0" fillId="0" borderId="1" applyFont="0" applyFill="0" applyBorder="0" applyProtection="0">
      <alignment horizontal="center"/>
    </xf>
    <xf numFmtId="279" fontId="0" fillId="0" borderId="1" applyFont="0" applyFill="0" applyBorder="0" applyProtection="0">
      <alignment horizontal="center"/>
    </xf>
    <xf numFmtId="240" fontId="150" fillId="0" borderId="0" applyFont="0" applyFill="0" applyBorder="0" applyAlignment="0" applyProtection="0"/>
    <xf numFmtId="194" fontId="0" fillId="0" borderId="0" applyFont="0" applyFill="0" applyBorder="0" applyAlignment="0" applyProtection="0"/>
    <xf numFmtId="280" fontId="0" fillId="0" borderId="0" applyFont="0" applyFill="0" applyBorder="0" applyAlignment="0" applyProtection="0"/>
    <xf numFmtId="0" fontId="50" fillId="0" borderId="51">
      <alignment horizontal="center"/>
      <protection/>
    </xf>
    <xf numFmtId="281" fontId="20" fillId="0" borderId="0">
      <alignment/>
      <protection/>
    </xf>
    <xf numFmtId="282" fontId="20" fillId="0" borderId="1">
      <alignment/>
      <protection/>
    </xf>
    <xf numFmtId="3" fontId="20" fillId="40" borderId="14">
      <alignment horizontal="right" vertical="top" wrapText="1"/>
      <protection/>
    </xf>
    <xf numFmtId="0" fontId="203" fillId="0" borderId="0">
      <alignment/>
      <protection/>
    </xf>
    <xf numFmtId="3" fontId="40" fillId="0" borderId="0" applyNumberFormat="0" applyBorder="0" applyAlignment="0" applyProtection="0"/>
    <xf numFmtId="3" fontId="91" fillId="0" borderId="0">
      <alignment/>
      <protection locked="0"/>
    </xf>
    <xf numFmtId="0" fontId="203" fillId="0" borderId="0">
      <alignment/>
      <protection/>
    </xf>
    <xf numFmtId="0" fontId="204" fillId="0" borderId="52" applyFill="0" applyBorder="0" applyAlignment="0">
      <protection/>
    </xf>
    <xf numFmtId="5" fontId="205" fillId="69" borderId="42">
      <alignment vertical="top"/>
      <protection/>
    </xf>
    <xf numFmtId="0" fontId="192" fillId="70" borderId="1">
      <alignment horizontal="left" vertical="center"/>
      <protection/>
    </xf>
    <xf numFmtId="6" fontId="207" fillId="71" borderId="42">
      <alignment/>
      <protection/>
    </xf>
    <xf numFmtId="5" fontId="208" fillId="0" borderId="42">
      <alignment horizontal="left" vertical="top"/>
      <protection/>
    </xf>
    <xf numFmtId="0" fontId="209" fillId="72" borderId="0">
      <alignment horizontal="left" vertical="center"/>
      <protection/>
    </xf>
    <xf numFmtId="5" fontId="68" fillId="0" borderId="53">
      <alignment horizontal="left" vertical="top"/>
      <protection/>
    </xf>
    <xf numFmtId="0" fontId="206" fillId="0" borderId="53">
      <alignment horizontal="left" vertical="center"/>
      <protection/>
    </xf>
    <xf numFmtId="0" fontId="0" fillId="0" borderId="0" applyFont="0" applyFill="0" applyBorder="0" applyAlignment="0" applyProtection="0"/>
    <xf numFmtId="0" fontId="0" fillId="0" borderId="0" applyFont="0" applyFill="0" applyBorder="0" applyAlignment="0" applyProtection="0"/>
    <xf numFmtId="283" fontId="0" fillId="0" borderId="0" applyFont="0" applyFill="0" applyBorder="0" applyAlignment="0" applyProtection="0"/>
    <xf numFmtId="284" fontId="0" fillId="0" borderId="0" applyFont="0" applyFill="0" applyBorder="0" applyAlignment="0" applyProtection="0"/>
    <xf numFmtId="42" fontId="126" fillId="0" borderId="0" applyFont="0" applyFill="0" applyBorder="0" applyAlignment="0" applyProtection="0"/>
    <xf numFmtId="44" fontId="126" fillId="0" borderId="0" applyFont="0" applyFill="0" applyBorder="0" applyAlignment="0" applyProtection="0"/>
    <xf numFmtId="0" fontId="265"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0" borderId="0" applyNumberFormat="0" applyFont="0" applyFill="0" applyBorder="0" applyProtection="0">
      <alignment horizontal="center" vertical="center" wrapText="1"/>
    </xf>
    <xf numFmtId="0" fontId="0" fillId="0" borderId="0" applyFont="0" applyFill="0" applyBorder="0" applyAlignment="0" applyProtection="0"/>
    <xf numFmtId="0" fontId="0" fillId="0" borderId="0" applyFont="0" applyFill="0" applyBorder="0" applyAlignment="0" applyProtection="0"/>
    <xf numFmtId="0" fontId="212" fillId="0" borderId="0" applyNumberFormat="0" applyFill="0" applyBorder="0" applyAlignment="0" applyProtection="0"/>
    <xf numFmtId="0" fontId="106" fillId="0" borderId="54" applyFont="0" applyBorder="0" applyAlignment="0">
      <protection/>
    </xf>
    <xf numFmtId="192" fontId="20" fillId="0" borderId="0" applyFont="0" applyFill="0" applyBorder="0" applyAlignment="0" applyProtection="0"/>
    <xf numFmtId="0" fontId="182" fillId="0" borderId="0" applyNumberFormat="0" applyFill="0" applyBorder="0" applyAlignment="0" applyProtection="0"/>
    <xf numFmtId="0" fontId="213" fillId="0" borderId="0">
      <alignment vertical="center"/>
      <protection/>
    </xf>
    <xf numFmtId="0" fontId="214" fillId="0" borderId="0" applyFont="0" applyFill="0" applyBorder="0" applyAlignment="0" applyProtection="0"/>
    <xf numFmtId="0" fontId="214" fillId="0" borderId="0" applyFont="0" applyFill="0" applyBorder="0" applyAlignment="0" applyProtection="0"/>
    <xf numFmtId="0" fontId="2" fillId="0" borderId="0">
      <alignment vertical="center"/>
      <protection/>
    </xf>
    <xf numFmtId="40" fontId="82" fillId="0" borderId="0" applyFont="0" applyFill="0" applyBorder="0" applyAlignment="0" applyProtection="0"/>
    <xf numFmtId="38"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9" fontId="215" fillId="0" borderId="0" applyBorder="0" applyAlignment="0" applyProtection="0"/>
    <xf numFmtId="0" fontId="216" fillId="0" borderId="0">
      <alignment/>
      <protection/>
    </xf>
    <xf numFmtId="0" fontId="217" fillId="0" borderId="3">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89" fillId="0" borderId="0" applyFont="0" applyFill="0" applyBorder="0" applyAlignment="0" applyProtection="0"/>
    <xf numFmtId="0" fontId="89" fillId="0" borderId="0" applyFont="0" applyFill="0" applyBorder="0" applyAlignment="0" applyProtection="0"/>
    <xf numFmtId="285" fontId="89" fillId="0" borderId="0" applyFont="0" applyFill="0" applyBorder="0" applyAlignment="0" applyProtection="0"/>
    <xf numFmtId="286" fontId="89" fillId="0" borderId="0" applyFont="0" applyFill="0" applyBorder="0" applyAlignment="0" applyProtection="0"/>
    <xf numFmtId="0" fontId="89" fillId="0" borderId="0">
      <alignment/>
      <protection/>
    </xf>
    <xf numFmtId="0" fontId="218" fillId="0" borderId="0">
      <alignment/>
      <protection/>
    </xf>
    <xf numFmtId="0" fontId="43" fillId="0" borderId="0">
      <alignment/>
      <protection/>
    </xf>
    <xf numFmtId="214" fontId="0" fillId="0" borderId="0" applyFont="0" applyFill="0" applyBorder="0" applyAlignment="0" applyProtection="0"/>
    <xf numFmtId="215" fontId="0" fillId="0" borderId="0" applyFont="0" applyFill="0" applyBorder="0" applyAlignment="0" applyProtection="0"/>
    <xf numFmtId="215" fontId="219" fillId="0" borderId="0" applyFont="0" applyFill="0" applyBorder="0" applyAlignment="0" applyProtection="0"/>
    <xf numFmtId="192" fontId="86" fillId="0" borderId="0" applyFont="0" applyFill="0" applyBorder="0" applyAlignment="0" applyProtection="0"/>
    <xf numFmtId="193" fontId="86" fillId="0" borderId="0" applyFont="0" applyFill="0" applyBorder="0" applyAlignment="0" applyProtection="0"/>
    <xf numFmtId="0" fontId="220" fillId="0" borderId="0" applyNumberFormat="0" applyFill="0" applyBorder="0" applyAlignment="0" applyProtection="0"/>
    <xf numFmtId="0" fontId="221" fillId="0" borderId="0" applyNumberFormat="0" applyFill="0" applyBorder="0" applyAlignment="0" applyProtection="0"/>
    <xf numFmtId="0" fontId="222" fillId="0" borderId="0">
      <alignment/>
      <protection/>
    </xf>
    <xf numFmtId="0" fontId="219" fillId="0" borderId="0">
      <alignment/>
      <protection/>
    </xf>
    <xf numFmtId="215" fontId="0" fillId="0" borderId="0" applyFont="0" applyFill="0" applyBorder="0" applyAlignment="0" applyProtection="0"/>
    <xf numFmtId="214" fontId="0" fillId="0" borderId="0" applyFont="0" applyFill="0" applyBorder="0" applyAlignment="0" applyProtection="0"/>
    <xf numFmtId="0" fontId="223" fillId="0" borderId="0">
      <alignment/>
      <protection/>
    </xf>
    <xf numFmtId="194" fontId="86" fillId="0" borderId="0" applyFont="0" applyFill="0" applyBorder="0" applyAlignment="0" applyProtection="0"/>
    <xf numFmtId="6" fontId="80" fillId="0" borderId="0" applyFont="0" applyFill="0" applyBorder="0" applyAlignment="0" applyProtection="0"/>
    <xf numFmtId="195" fontId="86" fillId="0" borderId="0" applyFont="0" applyFill="0" applyBorder="0" applyAlignment="0" applyProtection="0"/>
    <xf numFmtId="0" fontId="224" fillId="0" borderId="0" applyNumberFormat="0" applyFill="0" applyBorder="0" applyAlignment="0" applyProtection="0"/>
    <xf numFmtId="0" fontId="225"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cellStyleXfs>
  <cellXfs count="899">
    <xf numFmtId="0" fontId="0" fillId="0" borderId="0" xfId="0" applyAlignment="1">
      <alignment/>
    </xf>
    <xf numFmtId="0" fontId="1" fillId="0" borderId="0" xfId="0" applyFont="1" applyAlignment="1">
      <alignment/>
    </xf>
    <xf numFmtId="0" fontId="2" fillId="0" borderId="0" xfId="0" applyFont="1" applyAlignment="1">
      <alignment/>
    </xf>
    <xf numFmtId="0" fontId="8" fillId="0" borderId="0" xfId="0" applyFont="1" applyAlignment="1">
      <alignment horizontal="right"/>
    </xf>
    <xf numFmtId="0" fontId="7" fillId="0" borderId="1" xfId="0" applyFont="1" applyBorder="1" applyAlignment="1">
      <alignment horizontal="center" wrapText="1"/>
    </xf>
    <xf numFmtId="0" fontId="2" fillId="0" borderId="0" xfId="0" applyFont="1" applyAlignment="1">
      <alignment horizontal="left"/>
    </xf>
    <xf numFmtId="0" fontId="13" fillId="0" borderId="0" xfId="0" applyFont="1" applyAlignment="1">
      <alignment/>
    </xf>
    <xf numFmtId="0" fontId="1"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19" fillId="0" borderId="0" xfId="0" applyFont="1" applyAlignment="1">
      <alignment/>
    </xf>
    <xf numFmtId="0" fontId="2" fillId="0" borderId="0" xfId="0" applyFont="1" applyAlignment="1">
      <alignment horizontal="center"/>
    </xf>
    <xf numFmtId="0" fontId="19" fillId="0" borderId="0" xfId="0" applyFont="1" applyAlignment="1">
      <alignment horizontal="right"/>
    </xf>
    <xf numFmtId="0" fontId="7" fillId="0" borderId="28" xfId="0" applyFont="1" applyBorder="1" applyAlignment="1">
      <alignment horizontal="center" wrapText="1"/>
    </xf>
    <xf numFmtId="0" fontId="7" fillId="0" borderId="28" xfId="0" applyFont="1" applyBorder="1" applyAlignment="1">
      <alignment wrapText="1"/>
    </xf>
    <xf numFmtId="0" fontId="7" fillId="0" borderId="29" xfId="0" applyFont="1" applyBorder="1" applyAlignment="1">
      <alignment horizontal="center" wrapText="1"/>
    </xf>
    <xf numFmtId="0" fontId="7" fillId="0" borderId="29" xfId="0" applyFont="1" applyBorder="1" applyAlignment="1">
      <alignment wrapText="1"/>
    </xf>
    <xf numFmtId="0" fontId="9" fillId="0" borderId="29" xfId="0" applyFont="1" applyBorder="1" applyAlignment="1">
      <alignment horizontal="center" wrapText="1"/>
    </xf>
    <xf numFmtId="0" fontId="9" fillId="0" borderId="29" xfId="0" applyFont="1" applyBorder="1" applyAlignment="1">
      <alignment wrapText="1"/>
    </xf>
    <xf numFmtId="182" fontId="11" fillId="0" borderId="29" xfId="1605" applyNumberFormat="1" applyFont="1" applyFill="1" applyBorder="1">
      <alignment/>
      <protection/>
    </xf>
    <xf numFmtId="182" fontId="11" fillId="0" borderId="29" xfId="1605" applyNumberFormat="1" applyFont="1" applyFill="1" applyBorder="1" applyAlignment="1">
      <alignment vertical="center" wrapText="1"/>
      <protection/>
    </xf>
    <xf numFmtId="0" fontId="22" fillId="0" borderId="0" xfId="0" applyFont="1" applyAlignment="1">
      <alignment/>
    </xf>
    <xf numFmtId="0" fontId="21" fillId="0" borderId="1" xfId="0" applyFont="1" applyFill="1" applyBorder="1" applyAlignment="1">
      <alignment horizontal="center" vertical="center" wrapText="1"/>
    </xf>
    <xf numFmtId="0" fontId="13" fillId="0" borderId="0" xfId="0" applyFont="1" applyFill="1" applyAlignment="1">
      <alignment horizontal="right"/>
    </xf>
    <xf numFmtId="0" fontId="23" fillId="0" borderId="0" xfId="0" applyFont="1" applyFill="1" applyAlignment="1">
      <alignment/>
    </xf>
    <xf numFmtId="0" fontId="16" fillId="0" borderId="0" xfId="0" applyFont="1" applyFill="1" applyAlignment="1">
      <alignment horizontal="center" vertical="center" wrapText="1"/>
    </xf>
    <xf numFmtId="0" fontId="25" fillId="0" borderId="0" xfId="0" applyFont="1" applyAlignment="1">
      <alignment/>
    </xf>
    <xf numFmtId="0" fontId="19" fillId="0" borderId="0" xfId="0" applyFont="1" applyFill="1" applyAlignment="1">
      <alignment/>
    </xf>
    <xf numFmtId="0" fontId="17" fillId="0" borderId="0" xfId="0" applyFont="1" applyAlignment="1">
      <alignment horizontal="right"/>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wrapText="1"/>
    </xf>
    <xf numFmtId="0" fontId="2" fillId="0" borderId="0" xfId="0" applyFont="1" applyAlignment="1">
      <alignment/>
    </xf>
    <xf numFmtId="0" fontId="11" fillId="0" borderId="29" xfId="0" applyFont="1" applyBorder="1" applyAlignment="1">
      <alignment horizontal="center" wrapText="1"/>
    </xf>
    <xf numFmtId="3" fontId="2" fillId="0" borderId="0" xfId="0" applyNumberFormat="1" applyFont="1" applyAlignment="1">
      <alignment/>
    </xf>
    <xf numFmtId="3" fontId="1" fillId="0" borderId="0" xfId="0" applyNumberFormat="1" applyFont="1" applyAlignment="1">
      <alignment/>
    </xf>
    <xf numFmtId="0" fontId="27" fillId="0" borderId="1" xfId="0" applyFont="1" applyBorder="1" applyAlignment="1">
      <alignment horizontal="center" vertical="center" wrapText="1"/>
    </xf>
    <xf numFmtId="0" fontId="15" fillId="0" borderId="0" xfId="0" applyFont="1" applyAlignment="1">
      <alignment vertical="center"/>
    </xf>
    <xf numFmtId="0" fontId="27" fillId="0" borderId="1" xfId="0" applyFont="1" applyBorder="1" applyAlignment="1">
      <alignment horizontal="center" wrapText="1"/>
    </xf>
    <xf numFmtId="0" fontId="15" fillId="0" borderId="0" xfId="0" applyFont="1" applyAlignment="1">
      <alignment/>
    </xf>
    <xf numFmtId="0" fontId="28" fillId="0" borderId="0" xfId="0" applyFont="1" applyAlignment="1">
      <alignment/>
    </xf>
    <xf numFmtId="0" fontId="30" fillId="0" borderId="0" xfId="0" applyFont="1" applyAlignment="1">
      <alignment/>
    </xf>
    <xf numFmtId="0" fontId="15" fillId="0" borderId="0" xfId="0" applyFont="1" applyAlignment="1">
      <alignment/>
    </xf>
    <xf numFmtId="0" fontId="15" fillId="53" borderId="29" xfId="0" applyFont="1" applyFill="1" applyBorder="1" applyAlignment="1">
      <alignment horizontal="left" wrapText="1"/>
    </xf>
    <xf numFmtId="0" fontId="15" fillId="53" borderId="29" xfId="0" applyFont="1" applyFill="1" applyBorder="1" applyAlignment="1">
      <alignment wrapText="1"/>
    </xf>
    <xf numFmtId="173" fontId="15" fillId="0" borderId="0" xfId="1009" applyFont="1" applyAlignment="1">
      <alignment/>
    </xf>
    <xf numFmtId="0" fontId="31" fillId="0" borderId="0" xfId="0" applyFont="1" applyAlignment="1">
      <alignment/>
    </xf>
    <xf numFmtId="0" fontId="32" fillId="0" borderId="0" xfId="0" applyFont="1" applyAlignment="1">
      <alignment/>
    </xf>
    <xf numFmtId="0" fontId="32" fillId="0" borderId="0" xfId="0" applyFont="1" applyAlignment="1">
      <alignment horizontal="right"/>
    </xf>
    <xf numFmtId="0" fontId="34" fillId="0" borderId="0" xfId="0" applyFont="1" applyAlignment="1">
      <alignment horizontal="right"/>
    </xf>
    <xf numFmtId="0" fontId="1" fillId="0" borderId="0" xfId="0" applyFont="1" applyAlignment="1">
      <alignment/>
    </xf>
    <xf numFmtId="173" fontId="1" fillId="0" borderId="0" xfId="1009" applyFont="1" applyAlignment="1">
      <alignment/>
    </xf>
    <xf numFmtId="169" fontId="1" fillId="0" borderId="0" xfId="0" applyNumberFormat="1" applyFont="1" applyAlignment="1">
      <alignment/>
    </xf>
    <xf numFmtId="186" fontId="1" fillId="0" borderId="0" xfId="0" applyNumberFormat="1" applyFont="1" applyAlignment="1">
      <alignment/>
    </xf>
    <xf numFmtId="0" fontId="19" fillId="0" borderId="0" xfId="0" applyFont="1" applyAlignment="1">
      <alignment/>
    </xf>
    <xf numFmtId="0" fontId="36" fillId="0" borderId="1" xfId="0" applyFont="1" applyBorder="1" applyAlignment="1">
      <alignment horizontal="center" vertical="center" wrapText="1"/>
    </xf>
    <xf numFmtId="0" fontId="37" fillId="0" borderId="0" xfId="0" applyFont="1" applyAlignment="1">
      <alignment vertical="center"/>
    </xf>
    <xf numFmtId="0" fontId="3" fillId="0" borderId="1" xfId="0" applyFont="1" applyBorder="1" applyAlignment="1">
      <alignment horizontal="center" vertical="center" wrapText="1"/>
    </xf>
    <xf numFmtId="0" fontId="37" fillId="53" borderId="29" xfId="0" applyFont="1" applyFill="1" applyBorder="1" applyAlignment="1">
      <alignment wrapText="1"/>
    </xf>
    <xf numFmtId="0" fontId="1" fillId="53" borderId="29" xfId="0" applyFont="1" applyFill="1" applyBorder="1" applyAlignment="1">
      <alignment horizontal="left" wrapText="1"/>
    </xf>
    <xf numFmtId="0" fontId="1" fillId="53" borderId="55" xfId="0" applyFont="1" applyFill="1" applyBorder="1" applyAlignment="1">
      <alignment horizontal="left" wrapText="1"/>
    </xf>
    <xf numFmtId="0" fontId="1" fillId="53" borderId="29" xfId="0" applyFont="1" applyFill="1" applyBorder="1" applyAlignment="1">
      <alignment wrapText="1"/>
    </xf>
    <xf numFmtId="0" fontId="32" fillId="0" borderId="0" xfId="0" applyFont="1" applyAlignment="1">
      <alignment/>
    </xf>
    <xf numFmtId="0" fontId="27" fillId="0" borderId="0" xfId="0" applyFont="1" applyAlignment="1">
      <alignment/>
    </xf>
    <xf numFmtId="0" fontId="38" fillId="0" borderId="0" xfId="0" applyFont="1" applyAlignment="1">
      <alignment/>
    </xf>
    <xf numFmtId="0" fontId="1" fillId="0" borderId="0" xfId="0" applyFont="1" applyAlignment="1">
      <alignment/>
    </xf>
    <xf numFmtId="169" fontId="1" fillId="0" borderId="0" xfId="0" applyNumberFormat="1" applyFont="1" applyAlignment="1">
      <alignment/>
    </xf>
    <xf numFmtId="0" fontId="17" fillId="0" borderId="0" xfId="0" applyFont="1" applyAlignment="1">
      <alignment/>
    </xf>
    <xf numFmtId="0" fontId="7" fillId="0" borderId="1" xfId="0" applyFont="1" applyBorder="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1" fillId="0" borderId="15" xfId="0" applyFont="1" applyFill="1" applyBorder="1" applyAlignment="1">
      <alignment horizontal="center" wrapText="1"/>
    </xf>
    <xf numFmtId="0" fontId="1" fillId="0" borderId="29" xfId="0" applyFont="1" applyFill="1" applyBorder="1" applyAlignment="1">
      <alignment wrapText="1"/>
    </xf>
    <xf numFmtId="0" fontId="2" fillId="0" borderId="0" xfId="0" applyFont="1" applyFill="1" applyAlignment="1">
      <alignment vertical="center"/>
    </xf>
    <xf numFmtId="0" fontId="19" fillId="0" borderId="29" xfId="1607" applyNumberFormat="1" applyFont="1" applyFill="1" applyBorder="1" applyAlignment="1">
      <alignment horizontal="center"/>
      <protection/>
    </xf>
    <xf numFmtId="0" fontId="19" fillId="0" borderId="29" xfId="1607" applyNumberFormat="1" applyFont="1" applyFill="1" applyBorder="1" applyAlignment="1">
      <alignment wrapText="1"/>
      <protection/>
    </xf>
    <xf numFmtId="3" fontId="19" fillId="0" borderId="29" xfId="1607" applyNumberFormat="1" applyFont="1" applyFill="1" applyBorder="1">
      <alignment/>
      <protection/>
    </xf>
    <xf numFmtId="3" fontId="19" fillId="0" borderId="29" xfId="1607" applyNumberFormat="1" applyFont="1" applyFill="1" applyBorder="1" applyAlignment="1">
      <alignment/>
      <protection/>
    </xf>
    <xf numFmtId="0" fontId="17" fillId="0" borderId="29" xfId="1607" applyNumberFormat="1" applyFont="1" applyFill="1" applyBorder="1" applyAlignment="1">
      <alignment horizontal="center"/>
      <protection/>
    </xf>
    <xf numFmtId="0" fontId="17" fillId="0" borderId="29" xfId="1607" applyNumberFormat="1" applyFont="1" applyFill="1" applyBorder="1" applyAlignment="1">
      <alignment wrapText="1"/>
      <protection/>
    </xf>
    <xf numFmtId="3" fontId="17" fillId="0" borderId="29" xfId="1607" applyNumberFormat="1" applyFont="1" applyFill="1" applyBorder="1">
      <alignment/>
      <protection/>
    </xf>
    <xf numFmtId="0" fontId="2" fillId="0" borderId="29" xfId="1607" applyNumberFormat="1" applyFont="1" applyFill="1" applyBorder="1" applyAlignment="1">
      <alignment horizontal="center"/>
      <protection/>
    </xf>
    <xf numFmtId="0" fontId="2" fillId="0" borderId="29" xfId="1607" applyNumberFormat="1" applyFont="1" applyFill="1" applyBorder="1" applyAlignment="1">
      <alignment horizontal="left" wrapText="1"/>
      <protection/>
    </xf>
    <xf numFmtId="3" fontId="2" fillId="0" borderId="29" xfId="1607" applyNumberFormat="1" applyFont="1" applyFill="1" applyBorder="1" applyAlignment="1">
      <alignment/>
      <protection/>
    </xf>
    <xf numFmtId="3" fontId="2" fillId="0" borderId="29" xfId="1607" applyNumberFormat="1" applyFont="1" applyFill="1" applyBorder="1" applyAlignment="1">
      <alignment horizontal="left" indent="1"/>
      <protection/>
    </xf>
    <xf numFmtId="3" fontId="17" fillId="0" borderId="29" xfId="1607" applyNumberFormat="1" applyFont="1" applyFill="1" applyBorder="1" applyAlignment="1">
      <alignment horizontal="right"/>
      <protection/>
    </xf>
    <xf numFmtId="3" fontId="2" fillId="0" borderId="29" xfId="1607" applyNumberFormat="1" applyFont="1" applyFill="1" applyBorder="1" applyAlignment="1">
      <alignment horizontal="right" indent="1"/>
      <protection/>
    </xf>
    <xf numFmtId="3" fontId="2" fillId="0" borderId="29" xfId="1607" applyNumberFormat="1" applyFont="1" applyFill="1" applyBorder="1" applyAlignment="1">
      <alignment horizontal="right"/>
      <protection/>
    </xf>
    <xf numFmtId="3" fontId="2" fillId="0" borderId="29" xfId="1607" applyNumberFormat="1" applyFont="1" applyFill="1" applyBorder="1" applyAlignment="1">
      <alignment horizontal="right" wrapText="1" indent="1"/>
      <protection/>
    </xf>
    <xf numFmtId="0" fontId="19" fillId="0" borderId="29" xfId="1607" applyNumberFormat="1" applyFont="1" applyFill="1" applyBorder="1" applyAlignment="1">
      <alignment horizontal="left" wrapText="1"/>
      <protection/>
    </xf>
    <xf numFmtId="0" fontId="19" fillId="0" borderId="15" xfId="1607" applyNumberFormat="1" applyFont="1" applyFill="1" applyBorder="1" applyAlignment="1">
      <alignment horizontal="center"/>
      <protection/>
    </xf>
    <xf numFmtId="0" fontId="19" fillId="0" borderId="15" xfId="1607" applyNumberFormat="1" applyFont="1" applyFill="1" applyBorder="1" applyAlignment="1">
      <alignment horizontal="center" wrapText="1"/>
      <protection/>
    </xf>
    <xf numFmtId="3" fontId="19" fillId="0" borderId="15" xfId="1607" applyNumberFormat="1" applyFont="1" applyFill="1" applyBorder="1" applyAlignment="1">
      <alignment horizontal="right"/>
      <protection/>
    </xf>
    <xf numFmtId="3" fontId="2" fillId="0" borderId="0" xfId="0" applyNumberFormat="1" applyFont="1" applyFill="1" applyAlignment="1">
      <alignment/>
    </xf>
    <xf numFmtId="37" fontId="26" fillId="0" borderId="29" xfId="1607" applyNumberFormat="1" applyFont="1" applyFill="1" applyBorder="1" applyAlignment="1">
      <alignment horizontal="left" wrapText="1" indent="1"/>
      <protection/>
    </xf>
    <xf numFmtId="37" fontId="11" fillId="0" borderId="15" xfId="1607" applyNumberFormat="1" applyFont="1" applyFill="1" applyBorder="1" applyAlignment="1">
      <alignment horizontal="center"/>
      <protection/>
    </xf>
    <xf numFmtId="37" fontId="11" fillId="0" borderId="15" xfId="1607" applyNumberFormat="1" applyFont="1" applyFill="1" applyBorder="1" applyAlignment="1">
      <alignment horizontal="left" indent="1"/>
      <protection/>
    </xf>
    <xf numFmtId="37" fontId="11" fillId="0" borderId="29" xfId="1607" applyNumberFormat="1" applyFont="1" applyFill="1" applyBorder="1" applyAlignment="1">
      <alignment horizontal="center"/>
      <protection/>
    </xf>
    <xf numFmtId="37" fontId="11" fillId="0" borderId="29" xfId="1607" applyNumberFormat="1" applyFont="1" applyFill="1" applyBorder="1" applyAlignment="1">
      <alignment horizontal="left" indent="1"/>
      <protection/>
    </xf>
    <xf numFmtId="37" fontId="26" fillId="0" borderId="15" xfId="1607" applyNumberFormat="1" applyFont="1" applyFill="1" applyBorder="1" applyAlignment="1">
      <alignment horizontal="left" indent="1"/>
      <protection/>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vertical="center"/>
    </xf>
    <xf numFmtId="4" fontId="19" fillId="0" borderId="0" xfId="0" applyNumberFormat="1" applyFont="1" applyFill="1" applyAlignment="1">
      <alignment/>
    </xf>
    <xf numFmtId="0" fontId="19" fillId="0" borderId="0" xfId="0" applyFont="1" applyFill="1" applyAlignment="1">
      <alignment/>
    </xf>
    <xf numFmtId="0" fontId="2" fillId="0" borderId="0" xfId="0" applyFont="1" applyFill="1" applyAlignment="1">
      <alignment horizontal="left"/>
    </xf>
    <xf numFmtId="3" fontId="2" fillId="0" borderId="0" xfId="0" applyNumberFormat="1" applyFont="1" applyFill="1" applyAlignment="1">
      <alignment horizontal="left"/>
    </xf>
    <xf numFmtId="0" fontId="19" fillId="0" borderId="29" xfId="0" applyFont="1" applyBorder="1" applyAlignment="1">
      <alignment horizontal="center" wrapText="1"/>
    </xf>
    <xf numFmtId="0" fontId="11" fillId="0" borderId="29" xfId="0" applyFont="1" applyBorder="1" applyAlignment="1">
      <alignment horizont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41" fillId="0" borderId="1" xfId="0" applyFont="1" applyFill="1" applyBorder="1" applyAlignment="1">
      <alignment horizontal="center" vertical="center" wrapText="1"/>
    </xf>
    <xf numFmtId="0" fontId="24" fillId="0" borderId="0" xfId="0" applyFont="1" applyAlignment="1">
      <alignment/>
    </xf>
    <xf numFmtId="0" fontId="4" fillId="0" borderId="0" xfId="0" applyFont="1" applyAlignment="1">
      <alignment horizontal="right"/>
    </xf>
    <xf numFmtId="0" fontId="44" fillId="0" borderId="0" xfId="0" applyFont="1" applyAlignment="1">
      <alignment/>
    </xf>
    <xf numFmtId="0" fontId="3" fillId="0" borderId="0" xfId="0" applyFont="1" applyAlignment="1">
      <alignment/>
    </xf>
    <xf numFmtId="173" fontId="15" fillId="0" borderId="0" xfId="0" applyNumberFormat="1" applyFont="1" applyAlignment="1">
      <alignment/>
    </xf>
    <xf numFmtId="173" fontId="15" fillId="0" borderId="0" xfId="1009" applyFont="1" applyAlignment="1">
      <alignment vertical="center"/>
    </xf>
    <xf numFmtId="173" fontId="30" fillId="0" borderId="0" xfId="1009" applyFont="1" applyAlignment="1">
      <alignment/>
    </xf>
    <xf numFmtId="173" fontId="15" fillId="0" borderId="0" xfId="1009" applyFont="1" applyAlignment="1">
      <alignment/>
    </xf>
    <xf numFmtId="0" fontId="15" fillId="0" borderId="0" xfId="0" applyFont="1" applyAlignment="1">
      <alignment/>
    </xf>
    <xf numFmtId="0" fontId="13" fillId="0" borderId="0" xfId="0" applyFont="1" applyAlignment="1">
      <alignment/>
    </xf>
    <xf numFmtId="0" fontId="1" fillId="0" borderId="29" xfId="0" applyFont="1" applyBorder="1" applyAlignment="1">
      <alignment horizontal="center" wrapText="1"/>
    </xf>
    <xf numFmtId="0" fontId="1" fillId="0" borderId="0" xfId="0" applyFont="1" applyAlignment="1">
      <alignment/>
    </xf>
    <xf numFmtId="0" fontId="2" fillId="0" borderId="0" xfId="1529" applyFont="1">
      <alignment/>
      <protection/>
    </xf>
    <xf numFmtId="0" fontId="7" fillId="0" borderId="0" xfId="1529" applyFont="1" applyAlignment="1">
      <alignment horizontal="right"/>
      <protection/>
    </xf>
    <xf numFmtId="0" fontId="2" fillId="0" borderId="0" xfId="1529" applyFont="1" applyFill="1">
      <alignment/>
      <protection/>
    </xf>
    <xf numFmtId="0" fontId="8" fillId="0" borderId="0" xfId="1529" applyFont="1" applyAlignment="1">
      <alignment horizontal="right"/>
      <protection/>
    </xf>
    <xf numFmtId="0" fontId="9" fillId="0" borderId="0" xfId="1529" applyFont="1">
      <alignment/>
      <protection/>
    </xf>
    <xf numFmtId="4" fontId="2" fillId="0" borderId="0" xfId="0" applyNumberFormat="1" applyFont="1" applyFill="1" applyAlignment="1">
      <alignment/>
    </xf>
    <xf numFmtId="0" fontId="2" fillId="0" borderId="3" xfId="0" applyFont="1" applyBorder="1" applyAlignment="1">
      <alignment/>
    </xf>
    <xf numFmtId="169" fontId="2" fillId="0" borderId="0" xfId="0" applyNumberFormat="1" applyFont="1" applyAlignment="1">
      <alignment/>
    </xf>
    <xf numFmtId="43" fontId="2" fillId="0" borderId="0" xfId="0" applyNumberFormat="1" applyFont="1" applyAlignment="1">
      <alignment/>
    </xf>
    <xf numFmtId="0" fontId="16" fillId="0" borderId="0" xfId="0" applyFont="1" applyAlignment="1">
      <alignment vertical="center"/>
    </xf>
    <xf numFmtId="0" fontId="7" fillId="0" borderId="1" xfId="0" applyFont="1" applyFill="1" applyBorder="1" applyAlignment="1">
      <alignment horizontal="center" vertical="center" wrapText="1"/>
    </xf>
    <xf numFmtId="4" fontId="9" fillId="0" borderId="29" xfId="0" applyNumberFormat="1" applyFont="1" applyBorder="1" applyAlignment="1">
      <alignment horizontal="center" wrapText="1"/>
    </xf>
    <xf numFmtId="0" fontId="5" fillId="0" borderId="1" xfId="0" applyFont="1" applyBorder="1" applyAlignment="1">
      <alignment horizontal="center" wrapText="1"/>
    </xf>
    <xf numFmtId="0" fontId="1" fillId="0" borderId="0" xfId="0" applyFont="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wrapText="1"/>
    </xf>
    <xf numFmtId="0" fontId="15" fillId="0" borderId="0" xfId="0" applyFont="1" applyFill="1" applyAlignment="1">
      <alignment/>
    </xf>
    <xf numFmtId="173" fontId="15" fillId="0" borderId="0" xfId="1009" applyFont="1" applyFill="1" applyAlignment="1">
      <alignment/>
    </xf>
    <xf numFmtId="173" fontId="1" fillId="0" borderId="0" xfId="1009" applyFont="1" applyFill="1" applyAlignment="1">
      <alignment/>
    </xf>
    <xf numFmtId="0" fontId="1" fillId="0" borderId="0" xfId="0" applyFont="1" applyFill="1" applyAlignment="1">
      <alignment/>
    </xf>
    <xf numFmtId="0" fontId="2" fillId="0" borderId="29" xfId="0" applyFont="1" applyFill="1" applyBorder="1" applyAlignment="1">
      <alignment wrapText="1"/>
    </xf>
    <xf numFmtId="3" fontId="19" fillId="0" borderId="0" xfId="0" applyNumberFormat="1" applyFont="1" applyAlignment="1">
      <alignment/>
    </xf>
    <xf numFmtId="0" fontId="15" fillId="0" borderId="29" xfId="0" applyFont="1" applyBorder="1" applyAlignment="1">
      <alignment horizontal="center" wrapText="1"/>
    </xf>
    <xf numFmtId="0" fontId="15" fillId="0" borderId="29" xfId="0" applyFont="1" applyBorder="1" applyAlignment="1">
      <alignment wrapText="1"/>
    </xf>
    <xf numFmtId="0" fontId="30" fillId="0" borderId="29" xfId="0" applyFont="1" applyBorder="1" applyAlignment="1">
      <alignment horizontal="center" wrapText="1"/>
    </xf>
    <xf numFmtId="0" fontId="30" fillId="0" borderId="29" xfId="0" applyFont="1" applyBorder="1" applyAlignment="1">
      <alignment wrapText="1"/>
    </xf>
    <xf numFmtId="0" fontId="1" fillId="0" borderId="0" xfId="0" applyFont="1" applyAlignment="1">
      <alignment vertical="center"/>
    </xf>
    <xf numFmtId="0" fontId="3" fillId="0" borderId="1" xfId="0" applyFont="1" applyBorder="1" applyAlignment="1">
      <alignment horizontal="center" wrapText="1"/>
    </xf>
    <xf numFmtId="173" fontId="3" fillId="0" borderId="1" xfId="1009" applyFont="1" applyBorder="1" applyAlignment="1">
      <alignment horizontal="center" wrapText="1"/>
    </xf>
    <xf numFmtId="0" fontId="13" fillId="0" borderId="1" xfId="0" applyFont="1" applyBorder="1" applyAlignment="1">
      <alignment horizontal="center" wrapText="1"/>
    </xf>
    <xf numFmtId="0" fontId="39" fillId="0" borderId="0" xfId="0" applyFont="1" applyAlignment="1">
      <alignment/>
    </xf>
    <xf numFmtId="0" fontId="13" fillId="0" borderId="15" xfId="0" applyFont="1" applyBorder="1" applyAlignment="1">
      <alignment horizontal="center" wrapText="1"/>
    </xf>
    <xf numFmtId="0" fontId="13" fillId="0" borderId="15" xfId="0" applyFont="1" applyBorder="1" applyAlignment="1">
      <alignment horizontal="left" wrapText="1"/>
    </xf>
    <xf numFmtId="0" fontId="1" fillId="0" borderId="29" xfId="0" applyFont="1" applyBorder="1" applyAlignment="1">
      <alignment horizontal="center" wrapText="1"/>
    </xf>
    <xf numFmtId="0" fontId="45" fillId="0" borderId="0" xfId="0" applyFont="1" applyAlignment="1">
      <alignment/>
    </xf>
    <xf numFmtId="189" fontId="1" fillId="0" borderId="0" xfId="0" applyNumberFormat="1" applyFont="1" applyAlignment="1">
      <alignment/>
    </xf>
    <xf numFmtId="0" fontId="10" fillId="0" borderId="0" xfId="0" applyFont="1" applyAlignment="1">
      <alignment/>
    </xf>
    <xf numFmtId="0" fontId="8" fillId="0" borderId="0" xfId="0" applyFont="1" applyAlignment="1">
      <alignment/>
    </xf>
    <xf numFmtId="0" fontId="17" fillId="0" borderId="0" xfId="0" applyFont="1" applyFill="1" applyAlignment="1">
      <alignment horizontal="right"/>
    </xf>
    <xf numFmtId="3"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 xfId="0" applyFont="1" applyFill="1" applyBorder="1" applyAlignment="1">
      <alignment horizontal="center" wrapText="1"/>
    </xf>
    <xf numFmtId="3" fontId="19" fillId="0" borderId="1" xfId="0" applyNumberFormat="1" applyFont="1" applyFill="1" applyBorder="1" applyAlignment="1">
      <alignment horizontal="center" wrapText="1"/>
    </xf>
    <xf numFmtId="3" fontId="19" fillId="0" borderId="15" xfId="0" applyNumberFormat="1" applyFont="1" applyFill="1" applyBorder="1" applyAlignment="1">
      <alignment horizontal="center" wrapText="1"/>
    </xf>
    <xf numFmtId="10" fontId="19" fillId="0" borderId="15" xfId="0" applyNumberFormat="1" applyFont="1" applyFill="1" applyBorder="1" applyAlignment="1">
      <alignment horizontal="center" wrapText="1"/>
    </xf>
    <xf numFmtId="3" fontId="19" fillId="0" borderId="29" xfId="0" applyNumberFormat="1" applyFont="1" applyFill="1" applyBorder="1" applyAlignment="1">
      <alignment horizontal="center" wrapText="1"/>
    </xf>
    <xf numFmtId="10" fontId="19" fillId="0" borderId="29" xfId="0" applyNumberFormat="1" applyFont="1" applyFill="1" applyBorder="1" applyAlignment="1">
      <alignment horizontal="center" wrapText="1"/>
    </xf>
    <xf numFmtId="3" fontId="19" fillId="0" borderId="29" xfId="0" applyNumberFormat="1" applyFont="1" applyFill="1" applyBorder="1" applyAlignment="1">
      <alignment wrapText="1"/>
    </xf>
    <xf numFmtId="3" fontId="2" fillId="0" borderId="29" xfId="0" applyNumberFormat="1" applyFont="1" applyFill="1" applyBorder="1" applyAlignment="1">
      <alignment wrapText="1"/>
    </xf>
    <xf numFmtId="3" fontId="2" fillId="0" borderId="29" xfId="0" applyNumberFormat="1" applyFont="1" applyFill="1" applyBorder="1" applyAlignment="1">
      <alignment horizontal="center" wrapText="1"/>
    </xf>
    <xf numFmtId="10" fontId="2" fillId="0" borderId="29" xfId="0" applyNumberFormat="1" applyFont="1" applyFill="1" applyBorder="1" applyAlignment="1">
      <alignment horizontal="center" wrapText="1"/>
    </xf>
    <xf numFmtId="37" fontId="47" fillId="0" borderId="29" xfId="1607" applyNumberFormat="1" applyFont="1" applyFill="1" applyBorder="1" applyAlignment="1">
      <alignment horizontal="left" indent="1"/>
      <protection/>
    </xf>
    <xf numFmtId="0" fontId="19" fillId="0" borderId="29" xfId="0" applyNumberFormat="1" applyFont="1" applyFill="1" applyBorder="1" applyAlignment="1">
      <alignment horizontal="center" wrapText="1"/>
    </xf>
    <xf numFmtId="0" fontId="19" fillId="0" borderId="29" xfId="0" applyNumberFormat="1" applyFont="1" applyFill="1" applyBorder="1" applyAlignment="1">
      <alignment wrapText="1"/>
    </xf>
    <xf numFmtId="0" fontId="19" fillId="0" borderId="10" xfId="0" applyNumberFormat="1" applyFont="1" applyFill="1" applyBorder="1" applyAlignment="1">
      <alignment horizontal="center" wrapText="1"/>
    </xf>
    <xf numFmtId="0" fontId="19" fillId="0" borderId="10" xfId="0" applyNumberFormat="1" applyFont="1" applyFill="1" applyBorder="1" applyAlignment="1">
      <alignment wrapText="1"/>
    </xf>
    <xf numFmtId="3" fontId="19" fillId="0" borderId="10" xfId="0" applyNumberFormat="1" applyFont="1" applyFill="1" applyBorder="1" applyAlignment="1">
      <alignment horizontal="center" wrapText="1"/>
    </xf>
    <xf numFmtId="10" fontId="19" fillId="0" borderId="10" xfId="0" applyNumberFormat="1" applyFont="1" applyFill="1" applyBorder="1" applyAlignment="1">
      <alignment horizontal="center" wrapText="1"/>
    </xf>
    <xf numFmtId="0" fontId="18" fillId="0" borderId="0" xfId="0" applyFont="1" applyFill="1" applyAlignment="1">
      <alignment/>
    </xf>
    <xf numFmtId="0" fontId="17" fillId="0" borderId="0" xfId="0" applyFont="1" applyFill="1" applyAlignment="1">
      <alignment horizontal="right"/>
    </xf>
    <xf numFmtId="0" fontId="19" fillId="0" borderId="56" xfId="0" applyFont="1" applyFill="1" applyBorder="1" applyAlignment="1">
      <alignment horizontal="center" wrapText="1"/>
    </xf>
    <xf numFmtId="0" fontId="19" fillId="0" borderId="56" xfId="0" applyFont="1" applyFill="1" applyBorder="1" applyAlignment="1">
      <alignment wrapText="1"/>
    </xf>
    <xf numFmtId="0" fontId="19" fillId="0" borderId="38" xfId="0" applyFont="1" applyFill="1" applyBorder="1" applyAlignment="1">
      <alignment horizontal="center" wrapText="1"/>
    </xf>
    <xf numFmtId="0" fontId="19" fillId="0" borderId="38" xfId="0" applyFont="1" applyFill="1" applyBorder="1" applyAlignment="1">
      <alignment wrapText="1"/>
    </xf>
    <xf numFmtId="0" fontId="2" fillId="0" borderId="38" xfId="0" applyFont="1" applyFill="1" applyBorder="1" applyAlignment="1">
      <alignment horizontal="center" wrapText="1"/>
    </xf>
    <xf numFmtId="0" fontId="2" fillId="0" borderId="38" xfId="0" applyFont="1" applyFill="1" applyBorder="1" applyAlignment="1">
      <alignment wrapText="1"/>
    </xf>
    <xf numFmtId="0" fontId="19" fillId="0" borderId="57" xfId="0" applyFont="1" applyFill="1" applyBorder="1" applyAlignment="1">
      <alignment horizontal="center" wrapText="1"/>
    </xf>
    <xf numFmtId="0" fontId="19" fillId="0" borderId="57" xfId="0" applyFont="1" applyFill="1" applyBorder="1" applyAlignment="1">
      <alignment wrapText="1"/>
    </xf>
    <xf numFmtId="0" fontId="18" fillId="0" borderId="0" xfId="0" applyFont="1" applyFill="1" applyAlignment="1">
      <alignment/>
    </xf>
    <xf numFmtId="0" fontId="17" fillId="0" borderId="0" xfId="0" applyFont="1" applyFill="1" applyAlignment="1">
      <alignment/>
    </xf>
    <xf numFmtId="4" fontId="17" fillId="0" borderId="0" xfId="0" applyNumberFormat="1" applyFont="1" applyFill="1" applyAlignment="1">
      <alignment horizontal="right"/>
    </xf>
    <xf numFmtId="4" fontId="19" fillId="0" borderId="10" xfId="0" applyNumberFormat="1" applyFont="1" applyFill="1" applyBorder="1" applyAlignment="1">
      <alignment horizontal="center" vertical="center" wrapText="1"/>
    </xf>
    <xf numFmtId="0" fontId="18" fillId="0" borderId="50" xfId="0" applyFont="1" applyFill="1" applyBorder="1" applyAlignment="1">
      <alignment wrapText="1"/>
    </xf>
    <xf numFmtId="0" fontId="18" fillId="0" borderId="50" xfId="0" applyFont="1" applyFill="1" applyBorder="1" applyAlignment="1">
      <alignment/>
    </xf>
    <xf numFmtId="4" fontId="38" fillId="0" borderId="28" xfId="0" applyNumberFormat="1" applyFont="1" applyBorder="1" applyAlignment="1">
      <alignment wrapText="1"/>
    </xf>
    <xf numFmtId="4" fontId="38" fillId="0" borderId="28" xfId="0" applyNumberFormat="1" applyFont="1" applyBorder="1" applyAlignment="1">
      <alignment horizontal="center" wrapText="1"/>
    </xf>
    <xf numFmtId="4" fontId="3" fillId="0" borderId="29" xfId="0" applyNumberFormat="1" applyFont="1" applyBorder="1" applyAlignment="1">
      <alignment horizontal="center" wrapText="1"/>
    </xf>
    <xf numFmtId="4" fontId="3" fillId="0" borderId="29" xfId="0" applyNumberFormat="1" applyFont="1" applyBorder="1" applyAlignment="1">
      <alignment wrapText="1"/>
    </xf>
    <xf numFmtId="4" fontId="3" fillId="0" borderId="29" xfId="1009" applyNumberFormat="1" applyFont="1" applyBorder="1" applyAlignment="1">
      <alignment horizontal="center" wrapText="1"/>
    </xf>
    <xf numFmtId="4" fontId="1" fillId="53" borderId="29" xfId="0" applyNumberFormat="1" applyFont="1" applyFill="1" applyBorder="1" applyAlignment="1">
      <alignment horizontal="left" wrapText="1"/>
    </xf>
    <xf numFmtId="4" fontId="5" fillId="0" borderId="29" xfId="1009" applyNumberFormat="1" applyFont="1" applyBorder="1" applyAlignment="1">
      <alignment horizontal="center" wrapText="1"/>
    </xf>
    <xf numFmtId="4" fontId="1" fillId="53" borderId="29" xfId="0" applyNumberFormat="1" applyFont="1" applyFill="1" applyBorder="1" applyAlignment="1">
      <alignment wrapText="1"/>
    </xf>
    <xf numFmtId="4" fontId="5" fillId="0" borderId="29" xfId="0" applyNumberFormat="1" applyFont="1" applyBorder="1" applyAlignment="1">
      <alignment wrapText="1"/>
    </xf>
    <xf numFmtId="3" fontId="5" fillId="0" borderId="29" xfId="0" applyNumberFormat="1" applyFont="1" applyBorder="1" applyAlignment="1">
      <alignment horizontal="center" wrapText="1"/>
    </xf>
    <xf numFmtId="0" fontId="6" fillId="0" borderId="0" xfId="0" applyFont="1" applyFill="1" applyAlignment="1">
      <alignment horizontal="center" vertical="center" wrapText="1"/>
    </xf>
    <xf numFmtId="0" fontId="19" fillId="0" borderId="0" xfId="0" applyFont="1" applyBorder="1" applyAlignment="1">
      <alignment horizontal="right"/>
    </xf>
    <xf numFmtId="0" fontId="2" fillId="0" borderId="0" xfId="0" applyFont="1" applyBorder="1" applyAlignment="1">
      <alignment/>
    </xf>
    <xf numFmtId="0" fontId="19" fillId="0" borderId="0" xfId="0" applyFont="1" applyBorder="1" applyAlignment="1">
      <alignment horizontal="center"/>
    </xf>
    <xf numFmtId="0" fontId="17" fillId="0" borderId="0" xfId="0" applyFont="1" applyBorder="1" applyAlignment="1">
      <alignment horizontal="right"/>
    </xf>
    <xf numFmtId="0" fontId="61" fillId="0" borderId="0" xfId="0" applyFont="1" applyBorder="1" applyAlignment="1">
      <alignment/>
    </xf>
    <xf numFmtId="0" fontId="61" fillId="0" borderId="0" xfId="0" applyFont="1" applyAlignment="1">
      <alignment/>
    </xf>
    <xf numFmtId="10" fontId="19" fillId="0" borderId="0" xfId="0" applyNumberFormat="1" applyFont="1" applyAlignment="1">
      <alignment/>
    </xf>
    <xf numFmtId="3" fontId="7" fillId="0" borderId="28" xfId="0" applyNumberFormat="1" applyFont="1" applyBorder="1" applyAlignment="1">
      <alignment wrapText="1"/>
    </xf>
    <xf numFmtId="10" fontId="7" fillId="0" borderId="28" xfId="0" applyNumberFormat="1" applyFont="1" applyBorder="1" applyAlignment="1">
      <alignment horizontal="center" wrapText="1"/>
    </xf>
    <xf numFmtId="3" fontId="7" fillId="0" borderId="29" xfId="0" applyNumberFormat="1" applyFont="1" applyBorder="1" applyAlignment="1">
      <alignment wrapText="1"/>
    </xf>
    <xf numFmtId="10" fontId="7" fillId="0" borderId="29" xfId="0" applyNumberFormat="1" applyFont="1" applyBorder="1" applyAlignment="1">
      <alignment horizontal="center" wrapText="1"/>
    </xf>
    <xf numFmtId="3" fontId="9" fillId="0" borderId="29" xfId="0" applyNumberFormat="1" applyFont="1" applyBorder="1" applyAlignment="1">
      <alignment wrapText="1"/>
    </xf>
    <xf numFmtId="0" fontId="8" fillId="0" borderId="29" xfId="0" applyFont="1" applyBorder="1" applyAlignment="1">
      <alignment wrapText="1"/>
    </xf>
    <xf numFmtId="10" fontId="9" fillId="0" borderId="29" xfId="0" applyNumberFormat="1" applyFont="1" applyBorder="1" applyAlignment="1">
      <alignment horizontal="center" wrapText="1"/>
    </xf>
    <xf numFmtId="0" fontId="1" fillId="53" borderId="29" xfId="0" applyFont="1" applyFill="1" applyBorder="1" applyAlignment="1">
      <alignment wrapText="1"/>
    </xf>
    <xf numFmtId="4" fontId="5" fillId="0" borderId="29" xfId="0" applyNumberFormat="1" applyFont="1" applyBorder="1" applyAlignment="1">
      <alignment wrapText="1"/>
    </xf>
    <xf numFmtId="0" fontId="49" fillId="0" borderId="1" xfId="0" applyFont="1" applyBorder="1" applyAlignment="1">
      <alignment horizontal="center" vertical="top" wrapText="1"/>
    </xf>
    <xf numFmtId="0" fontId="16" fillId="0" borderId="0" xfId="0" applyFont="1" applyAlignment="1">
      <alignment/>
    </xf>
    <xf numFmtId="0" fontId="5" fillId="0" borderId="29" xfId="0" applyFont="1" applyBorder="1" applyAlignment="1">
      <alignment horizontal="center" wrapText="1"/>
    </xf>
    <xf numFmtId="175" fontId="1" fillId="0" borderId="29" xfId="1595" applyNumberFormat="1" applyFont="1" applyBorder="1" applyAlignment="1">
      <alignment/>
      <protection/>
    </xf>
    <xf numFmtId="0" fontId="5" fillId="0" borderId="58" xfId="0" applyFont="1" applyBorder="1" applyAlignment="1">
      <alignment horizontal="center" wrapText="1"/>
    </xf>
    <xf numFmtId="0" fontId="5" fillId="0" borderId="58" xfId="0" applyFont="1" applyBorder="1" applyAlignment="1">
      <alignment wrapText="1"/>
    </xf>
    <xf numFmtId="4" fontId="5" fillId="0" borderId="58" xfId="0" applyNumberFormat="1" applyFont="1" applyBorder="1" applyAlignment="1">
      <alignment wrapText="1"/>
    </xf>
    <xf numFmtId="0" fontId="3" fillId="0" borderId="1" xfId="0" applyFont="1" applyBorder="1" applyAlignment="1">
      <alignment horizontal="center" vertical="center" wrapText="1"/>
    </xf>
    <xf numFmtId="0" fontId="49" fillId="0" borderId="1" xfId="0" applyFont="1" applyBorder="1" applyAlignment="1">
      <alignment horizontal="center" wrapText="1"/>
    </xf>
    <xf numFmtId="0" fontId="49" fillId="0" borderId="1" xfId="0" applyFont="1" applyFill="1" applyBorder="1" applyAlignment="1">
      <alignment horizontal="center" vertical="top" wrapText="1"/>
    </xf>
    <xf numFmtId="0" fontId="49" fillId="0" borderId="1" xfId="0" applyFont="1" applyFill="1" applyBorder="1" applyAlignment="1">
      <alignment horizontal="center" wrapText="1"/>
    </xf>
    <xf numFmtId="0" fontId="19" fillId="0" borderId="0" xfId="0" applyFont="1" applyAlignment="1">
      <alignment/>
    </xf>
    <xf numFmtId="0" fontId="50" fillId="0" borderId="0" xfId="0" applyFont="1" applyFill="1" applyAlignment="1">
      <alignment/>
    </xf>
    <xf numFmtId="0" fontId="2" fillId="0" borderId="0" xfId="0" applyFont="1" applyAlignment="1">
      <alignment/>
    </xf>
    <xf numFmtId="0" fontId="21" fillId="0" borderId="0" xfId="0" applyFont="1" applyFill="1" applyAlignment="1">
      <alignment vertical="center"/>
    </xf>
    <xf numFmtId="0" fontId="48" fillId="0" borderId="0" xfId="0" applyFont="1" applyFill="1" applyAlignment="1">
      <alignment vertical="center"/>
    </xf>
    <xf numFmtId="0" fontId="0"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horizontal="left" wrapText="1"/>
    </xf>
    <xf numFmtId="4" fontId="12" fillId="0" borderId="56" xfId="0" applyNumberFormat="1" applyFont="1" applyFill="1" applyBorder="1" applyAlignment="1">
      <alignment horizontal="right" wrapText="1"/>
    </xf>
    <xf numFmtId="10" fontId="12" fillId="0" borderId="56" xfId="0" applyNumberFormat="1" applyFont="1" applyFill="1" applyBorder="1" applyAlignment="1">
      <alignment horizontal="center" wrapText="1"/>
    </xf>
    <xf numFmtId="4" fontId="12" fillId="0" borderId="38" xfId="0" applyNumberFormat="1" applyFont="1" applyFill="1" applyBorder="1" applyAlignment="1">
      <alignment horizontal="right" wrapText="1"/>
    </xf>
    <xf numFmtId="10" fontId="12" fillId="0" borderId="38" xfId="0" applyNumberFormat="1" applyFont="1" applyFill="1" applyBorder="1" applyAlignment="1">
      <alignment horizontal="center" wrapText="1"/>
    </xf>
    <xf numFmtId="4" fontId="11" fillId="0" borderId="38" xfId="0" applyNumberFormat="1" applyFont="1" applyFill="1" applyBorder="1" applyAlignment="1">
      <alignment horizontal="right" wrapText="1"/>
    </xf>
    <xf numFmtId="10" fontId="11" fillId="0" borderId="38" xfId="0" applyNumberFormat="1" applyFont="1" applyFill="1" applyBorder="1" applyAlignment="1">
      <alignment horizontal="center" wrapText="1"/>
    </xf>
    <xf numFmtId="4" fontId="11" fillId="0" borderId="38" xfId="0" applyNumberFormat="1" applyFont="1" applyFill="1" applyBorder="1" applyAlignment="1">
      <alignment horizontal="center" wrapText="1"/>
    </xf>
    <xf numFmtId="4" fontId="11" fillId="0" borderId="57" xfId="0" applyNumberFormat="1" applyFont="1" applyFill="1" applyBorder="1" applyAlignment="1">
      <alignment horizontal="center" wrapText="1"/>
    </xf>
    <xf numFmtId="4" fontId="7" fillId="0" borderId="28" xfId="0" applyNumberFormat="1" applyFont="1" applyBorder="1" applyAlignment="1">
      <alignment wrapText="1"/>
    </xf>
    <xf numFmtId="4" fontId="7" fillId="0" borderId="29" xfId="0" applyNumberFormat="1" applyFont="1" applyBorder="1" applyAlignment="1">
      <alignment wrapText="1"/>
    </xf>
    <xf numFmtId="4" fontId="9" fillId="0" borderId="29" xfId="0" applyNumberFormat="1" applyFont="1" applyBorder="1" applyAlignment="1">
      <alignment wrapText="1"/>
    </xf>
    <xf numFmtId="0" fontId="51" fillId="0" borderId="1" xfId="0" applyFont="1" applyBorder="1" applyAlignment="1">
      <alignment horizontal="center" vertical="center" wrapText="1"/>
    </xf>
    <xf numFmtId="0" fontId="51" fillId="0" borderId="1" xfId="0" applyFont="1" applyBorder="1" applyAlignment="1">
      <alignment horizontal="center" wrapText="1"/>
    </xf>
    <xf numFmtId="0" fontId="51" fillId="0" borderId="29" xfId="0" applyFont="1" applyBorder="1" applyAlignment="1">
      <alignment horizontal="center" wrapText="1"/>
    </xf>
    <xf numFmtId="0" fontId="51" fillId="0" borderId="29" xfId="0" applyFont="1" applyBorder="1" applyAlignment="1">
      <alignment wrapText="1"/>
    </xf>
    <xf numFmtId="3" fontId="51" fillId="0" borderId="29" xfId="0" applyNumberFormat="1" applyFont="1" applyBorder="1" applyAlignment="1">
      <alignment horizontal="right" wrapText="1"/>
    </xf>
    <xf numFmtId="4" fontId="51" fillId="0" borderId="29" xfId="0" applyNumberFormat="1" applyFont="1" applyBorder="1" applyAlignment="1">
      <alignment horizontal="right" wrapText="1"/>
    </xf>
    <xf numFmtId="10" fontId="51" fillId="0" borderId="29" xfId="0" applyNumberFormat="1" applyFont="1" applyBorder="1" applyAlignment="1">
      <alignment horizontal="right" wrapText="1"/>
    </xf>
    <xf numFmtId="0" fontId="52" fillId="0" borderId="29" xfId="0" applyFont="1" applyBorder="1" applyAlignment="1">
      <alignment horizontal="center" wrapText="1"/>
    </xf>
    <xf numFmtId="0" fontId="52" fillId="0" borderId="29" xfId="0" applyFont="1" applyBorder="1" applyAlignment="1">
      <alignment wrapText="1"/>
    </xf>
    <xf numFmtId="3" fontId="52" fillId="0" borderId="29" xfId="0" applyNumberFormat="1" applyFont="1" applyBorder="1" applyAlignment="1">
      <alignment horizontal="right" wrapText="1"/>
    </xf>
    <xf numFmtId="4" fontId="52" fillId="0" borderId="29" xfId="0" applyNumberFormat="1" applyFont="1" applyBorder="1" applyAlignment="1">
      <alignment horizontal="right" wrapText="1"/>
    </xf>
    <xf numFmtId="10" fontId="52" fillId="0" borderId="29" xfId="0" applyNumberFormat="1" applyFont="1" applyBorder="1" applyAlignment="1">
      <alignment horizontal="right"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0" borderId="1" xfId="0" applyFont="1" applyBorder="1" applyAlignment="1">
      <alignment horizontal="center" wrapText="1"/>
    </xf>
    <xf numFmtId="3" fontId="12" fillId="0" borderId="1" xfId="0" applyNumberFormat="1" applyFont="1" applyBorder="1" applyAlignment="1">
      <alignment horizontal="center" wrapText="1"/>
    </xf>
    <xf numFmtId="0" fontId="12" fillId="0" borderId="28" xfId="0" applyFont="1" applyBorder="1" applyAlignment="1">
      <alignment horizontal="center" wrapText="1"/>
    </xf>
    <xf numFmtId="0" fontId="12" fillId="0" borderId="28" xfId="0" applyFont="1" applyBorder="1" applyAlignment="1">
      <alignment wrapText="1"/>
    </xf>
    <xf numFmtId="3" fontId="12" fillId="0" borderId="28" xfId="0" applyNumberFormat="1" applyFont="1" applyBorder="1" applyAlignment="1">
      <alignment horizontal="right" wrapText="1"/>
    </xf>
    <xf numFmtId="4" fontId="12" fillId="0" borderId="28" xfId="0" applyNumberFormat="1" applyFont="1" applyBorder="1" applyAlignment="1">
      <alignment horizontal="right" wrapText="1"/>
    </xf>
    <xf numFmtId="10" fontId="12" fillId="0" borderId="28" xfId="0" applyNumberFormat="1" applyFont="1" applyBorder="1" applyAlignment="1">
      <alignment horizontal="center" wrapText="1"/>
    </xf>
    <xf numFmtId="0" fontId="12" fillId="0" borderId="29" xfId="0" applyFont="1" applyBorder="1" applyAlignment="1">
      <alignment horizontal="center" wrapText="1"/>
    </xf>
    <xf numFmtId="0" fontId="12" fillId="0" borderId="29" xfId="0" applyFont="1" applyBorder="1" applyAlignment="1">
      <alignment wrapText="1"/>
    </xf>
    <xf numFmtId="3" fontId="12" fillId="0" borderId="29" xfId="0" applyNumberFormat="1" applyFont="1" applyBorder="1" applyAlignment="1">
      <alignment horizontal="right" wrapText="1"/>
    </xf>
    <xf numFmtId="4" fontId="12" fillId="0" borderId="29" xfId="0" applyNumberFormat="1" applyFont="1" applyBorder="1" applyAlignment="1">
      <alignment horizontal="right" wrapText="1"/>
    </xf>
    <xf numFmtId="10" fontId="12" fillId="0" borderId="29" xfId="0" applyNumberFormat="1" applyFont="1" applyBorder="1" applyAlignment="1">
      <alignment horizontal="center" wrapText="1"/>
    </xf>
    <xf numFmtId="0" fontId="11" fillId="0" borderId="29" xfId="0" applyFont="1" applyBorder="1" applyAlignment="1">
      <alignment wrapText="1"/>
    </xf>
    <xf numFmtId="3" fontId="11" fillId="0" borderId="29" xfId="0" applyNumberFormat="1" applyFont="1" applyBorder="1" applyAlignment="1">
      <alignment horizontal="right" wrapText="1"/>
    </xf>
    <xf numFmtId="4" fontId="11" fillId="0" borderId="29" xfId="0" applyNumberFormat="1" applyFont="1" applyBorder="1" applyAlignment="1">
      <alignment horizontal="right" wrapText="1"/>
    </xf>
    <xf numFmtId="10" fontId="11" fillId="0" borderId="29" xfId="0" applyNumberFormat="1" applyFont="1" applyBorder="1" applyAlignment="1">
      <alignment horizontal="center" wrapText="1"/>
    </xf>
    <xf numFmtId="0" fontId="26" fillId="0" borderId="29" xfId="0" applyFont="1" applyBorder="1" applyAlignment="1">
      <alignment wrapText="1"/>
    </xf>
    <xf numFmtId="4" fontId="11" fillId="0" borderId="59" xfId="0" applyNumberFormat="1" applyFont="1" applyBorder="1" applyAlignment="1">
      <alignment wrapText="1"/>
    </xf>
    <xf numFmtId="0" fontId="11" fillId="0" borderId="59" xfId="0" applyFont="1" applyBorder="1" applyAlignment="1">
      <alignment wrapText="1"/>
    </xf>
    <xf numFmtId="4" fontId="12" fillId="0" borderId="58" xfId="0" applyNumberFormat="1" applyFont="1" applyBorder="1" applyAlignment="1">
      <alignment horizontal="right" wrapText="1"/>
    </xf>
    <xf numFmtId="4" fontId="13" fillId="0" borderId="0" xfId="0" applyNumberFormat="1" applyFont="1" applyAlignment="1">
      <alignment/>
    </xf>
    <xf numFmtId="3" fontId="19" fillId="0" borderId="0" xfId="0" applyNumberFormat="1" applyFont="1" applyFill="1" applyAlignment="1">
      <alignment/>
    </xf>
    <xf numFmtId="4" fontId="19" fillId="0" borderId="0" xfId="0" applyNumberFormat="1" applyFont="1" applyAlignment="1">
      <alignment/>
    </xf>
    <xf numFmtId="4" fontId="15" fillId="0" borderId="0" xfId="0" applyNumberFormat="1" applyFont="1" applyAlignment="1">
      <alignment/>
    </xf>
    <xf numFmtId="43" fontId="15" fillId="0" borderId="0" xfId="0" applyNumberFormat="1" applyFont="1" applyAlignment="1">
      <alignment/>
    </xf>
    <xf numFmtId="43" fontId="28" fillId="0" borderId="0" xfId="0" applyNumberFormat="1" applyFont="1" applyAlignment="1">
      <alignment/>
    </xf>
    <xf numFmtId="0" fontId="38" fillId="0" borderId="1" xfId="0" applyFont="1" applyBorder="1" applyAlignment="1">
      <alignment horizontal="center" wrapText="1"/>
    </xf>
    <xf numFmtId="173" fontId="38" fillId="0" borderId="1" xfId="1009" applyFont="1" applyBorder="1" applyAlignment="1">
      <alignment horizontal="center" wrapText="1"/>
    </xf>
    <xf numFmtId="0" fontId="13" fillId="0" borderId="15" xfId="0" applyFont="1" applyBorder="1" applyAlignment="1">
      <alignment wrapText="1"/>
    </xf>
    <xf numFmtId="173" fontId="1" fillId="0" borderId="29" xfId="1009" applyFont="1" applyBorder="1" applyAlignment="1">
      <alignment horizontal="center" wrapText="1"/>
    </xf>
    <xf numFmtId="173" fontId="13" fillId="0" borderId="29" xfId="1009" applyFont="1" applyBorder="1" applyAlignment="1">
      <alignment horizontal="center" wrapText="1"/>
    </xf>
    <xf numFmtId="0" fontId="19" fillId="0" borderId="1" xfId="0" applyFont="1" applyBorder="1" applyAlignment="1">
      <alignment horizontal="center" vertical="center" wrapText="1"/>
    </xf>
    <xf numFmtId="0" fontId="19" fillId="0" borderId="15" xfId="0" applyFont="1" applyBorder="1" applyAlignment="1">
      <alignment horizontal="center" wrapText="1"/>
    </xf>
    <xf numFmtId="177" fontId="2" fillId="0" borderId="0" xfId="1009" applyNumberFormat="1" applyFont="1" applyAlignment="1">
      <alignment/>
    </xf>
    <xf numFmtId="0" fontId="13" fillId="0" borderId="1" xfId="0" applyFont="1" applyBorder="1" applyAlignment="1">
      <alignment horizontal="center" vertical="center" wrapText="1"/>
    </xf>
    <xf numFmtId="0" fontId="16" fillId="0" borderId="1" xfId="0" applyFont="1" applyBorder="1" applyAlignment="1">
      <alignment horizontal="center" vertical="center" wrapText="1"/>
    </xf>
    <xf numFmtId="177" fontId="1" fillId="0" borderId="0" xfId="1009" applyNumberFormat="1" applyFont="1" applyAlignment="1">
      <alignment/>
    </xf>
    <xf numFmtId="190" fontId="1" fillId="0" borderId="0" xfId="0" applyNumberFormat="1" applyFont="1" applyAlignment="1">
      <alignment/>
    </xf>
    <xf numFmtId="0" fontId="13" fillId="0" borderId="10"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29" xfId="0" applyFont="1" applyFill="1" applyBorder="1" applyAlignment="1">
      <alignment horizontal="center" wrapText="1"/>
    </xf>
    <xf numFmtId="173" fontId="1" fillId="0" borderId="0" xfId="1009" applyFont="1" applyAlignment="1">
      <alignment/>
    </xf>
    <xf numFmtId="173" fontId="2" fillId="0" borderId="0" xfId="1009" applyFont="1" applyAlignment="1">
      <alignment/>
    </xf>
    <xf numFmtId="173" fontId="5" fillId="0" borderId="29" xfId="1009" applyFont="1" applyBorder="1" applyAlignment="1">
      <alignment horizontal="center" wrapText="1"/>
    </xf>
    <xf numFmtId="173" fontId="3" fillId="0" borderId="29" xfId="1009" applyFont="1" applyBorder="1" applyAlignment="1">
      <alignment horizontal="center" wrapText="1"/>
    </xf>
    <xf numFmtId="173" fontId="4" fillId="0" borderId="29" xfId="1009" applyFont="1" applyBorder="1" applyAlignment="1">
      <alignment horizontal="center" wrapText="1"/>
    </xf>
    <xf numFmtId="173" fontId="38" fillId="0" borderId="28" xfId="1009" applyFont="1" applyBorder="1" applyAlignment="1">
      <alignment horizontal="center" wrapText="1"/>
    </xf>
    <xf numFmtId="173" fontId="5" fillId="0" borderId="29" xfId="1009" applyFont="1" applyBorder="1" applyAlignment="1">
      <alignment horizontal="center" wrapText="1"/>
    </xf>
    <xf numFmtId="185" fontId="2" fillId="0" borderId="0" xfId="0" applyNumberFormat="1" applyFont="1" applyAlignment="1">
      <alignment/>
    </xf>
    <xf numFmtId="0" fontId="17" fillId="0" borderId="0" xfId="0" applyFont="1" applyAlignment="1">
      <alignment horizontal="right"/>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9" fillId="0" borderId="29" xfId="0" applyFont="1" applyBorder="1" applyAlignment="1">
      <alignment horizontal="center" vertical="center" wrapText="1"/>
    </xf>
    <xf numFmtId="10" fontId="19" fillId="0" borderId="29" xfId="1009" applyNumberFormat="1" applyFont="1" applyFill="1" applyBorder="1" applyAlignment="1">
      <alignment horizontal="right" vertical="center" wrapText="1"/>
    </xf>
    <xf numFmtId="4"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2" fillId="0" borderId="29" xfId="0" applyFont="1" applyBorder="1" applyAlignment="1">
      <alignment wrapText="1"/>
    </xf>
    <xf numFmtId="0" fontId="2" fillId="53" borderId="29" xfId="0" applyFont="1" applyFill="1" applyBorder="1" applyAlignment="1">
      <alignment wrapText="1"/>
    </xf>
    <xf numFmtId="0" fontId="62" fillId="0" borderId="28" xfId="0" applyFont="1" applyBorder="1" applyAlignment="1">
      <alignment horizontal="center" vertical="center" wrapText="1"/>
    </xf>
    <xf numFmtId="10" fontId="62" fillId="0" borderId="28" xfId="1009" applyNumberFormat="1" applyFont="1" applyFill="1" applyBorder="1" applyAlignment="1">
      <alignment horizontal="right" vertical="center" wrapText="1"/>
    </xf>
    <xf numFmtId="0" fontId="63" fillId="0" borderId="0" xfId="0" applyFont="1" applyAlignment="1">
      <alignment horizontal="center" vertical="center" wrapText="1"/>
    </xf>
    <xf numFmtId="173" fontId="1" fillId="0" borderId="29" xfId="1009" applyFont="1" applyBorder="1" applyAlignment="1">
      <alignment horizontal="center" wrapText="1"/>
    </xf>
    <xf numFmtId="177" fontId="1" fillId="0" borderId="0" xfId="1009" applyNumberFormat="1" applyFont="1" applyAlignment="1">
      <alignment/>
    </xf>
    <xf numFmtId="0" fontId="5" fillId="0" borderId="1" xfId="0" applyFont="1" applyBorder="1" applyAlignment="1">
      <alignment horizontal="center" vertical="center" wrapText="1"/>
    </xf>
    <xf numFmtId="0" fontId="3" fillId="0" borderId="28" xfId="0" applyFont="1" applyBorder="1" applyAlignment="1">
      <alignment wrapText="1"/>
    </xf>
    <xf numFmtId="0" fontId="0" fillId="0" borderId="0" xfId="0" applyFont="1" applyAlignment="1">
      <alignment/>
    </xf>
    <xf numFmtId="0" fontId="19" fillId="0" borderId="0" xfId="0" applyFont="1" applyAlignment="1">
      <alignment horizontal="center" wrapText="1"/>
    </xf>
    <xf numFmtId="189" fontId="15" fillId="0" borderId="0" xfId="0" applyNumberFormat="1" applyFont="1" applyAlignment="1">
      <alignment vertical="center"/>
    </xf>
    <xf numFmtId="0" fontId="13" fillId="0" borderId="29" xfId="0" applyFont="1" applyBorder="1" applyAlignment="1">
      <alignment horizontal="center" wrapText="1"/>
    </xf>
    <xf numFmtId="0" fontId="13" fillId="53" borderId="29" xfId="0" applyFont="1" applyFill="1" applyBorder="1" applyAlignment="1">
      <alignment wrapText="1"/>
    </xf>
    <xf numFmtId="0" fontId="1" fillId="0" borderId="58" xfId="0" applyNumberFormat="1" applyFont="1" applyBorder="1" applyAlignment="1">
      <alignment horizontal="center" wrapText="1"/>
    </xf>
    <xf numFmtId="0" fontId="1" fillId="53" borderId="58" xfId="0" applyNumberFormat="1" applyFont="1" applyFill="1" applyBorder="1" applyAlignment="1">
      <alignment wrapText="1"/>
    </xf>
    <xf numFmtId="187" fontId="1" fillId="0" borderId="0" xfId="0" applyNumberFormat="1" applyFont="1" applyAlignment="1">
      <alignment/>
    </xf>
    <xf numFmtId="0" fontId="2" fillId="0" borderId="29" xfId="0" applyFont="1" applyBorder="1" applyAlignment="1">
      <alignment horizontal="center" wrapText="1"/>
    </xf>
    <xf numFmtId="10" fontId="2" fillId="0" borderId="29" xfId="1009" applyNumberFormat="1" applyFont="1" applyFill="1" applyBorder="1" applyAlignment="1">
      <alignment horizontal="right" wrapText="1"/>
    </xf>
    <xf numFmtId="0" fontId="2" fillId="0" borderId="0" xfId="0" applyFont="1" applyAlignment="1">
      <alignment horizontal="center" wrapText="1"/>
    </xf>
    <xf numFmtId="0" fontId="2" fillId="53" borderId="29" xfId="0" applyFont="1" applyFill="1" applyBorder="1" applyAlignment="1">
      <alignment horizontal="left" wrapText="1"/>
    </xf>
    <xf numFmtId="0" fontId="2" fillId="0" borderId="0" xfId="0" applyFont="1" applyAlignment="1">
      <alignment horizontal="center" wrapText="1"/>
    </xf>
    <xf numFmtId="0" fontId="2" fillId="0" borderId="58" xfId="0" applyFont="1" applyBorder="1" applyAlignment="1">
      <alignment horizontal="center" wrapText="1"/>
    </xf>
    <xf numFmtId="0" fontId="54" fillId="53" borderId="29" xfId="0" applyFont="1" applyFill="1" applyBorder="1" applyAlignment="1">
      <alignment wrapText="1"/>
    </xf>
    <xf numFmtId="173" fontId="1" fillId="0" borderId="0" xfId="0" applyNumberFormat="1" applyFont="1" applyAlignment="1">
      <alignment/>
    </xf>
    <xf numFmtId="191" fontId="1" fillId="0" borderId="0" xfId="0" applyNumberFormat="1" applyFont="1" applyAlignment="1">
      <alignment/>
    </xf>
    <xf numFmtId="0" fontId="32" fillId="0" borderId="0" xfId="0" applyFont="1" applyFill="1" applyAlignment="1">
      <alignment horizontal="right"/>
    </xf>
    <xf numFmtId="3" fontId="13" fillId="0" borderId="29" xfId="0" applyNumberFormat="1" applyFont="1" applyBorder="1" applyAlignment="1">
      <alignment horizontal="center" wrapText="1"/>
    </xf>
    <xf numFmtId="4" fontId="13" fillId="0" borderId="29" xfId="0" applyNumberFormat="1" applyFont="1" applyBorder="1" applyAlignment="1">
      <alignment wrapText="1"/>
    </xf>
    <xf numFmtId="3" fontId="1" fillId="0" borderId="29" xfId="0" applyNumberFormat="1" applyFont="1" applyBorder="1" applyAlignment="1">
      <alignment horizontal="center" wrapText="1"/>
    </xf>
    <xf numFmtId="4" fontId="1" fillId="0" borderId="29" xfId="0" applyNumberFormat="1" applyFont="1" applyBorder="1" applyAlignment="1">
      <alignment wrapText="1"/>
    </xf>
    <xf numFmtId="3" fontId="1" fillId="0" borderId="58" xfId="0" applyNumberFormat="1" applyFont="1" applyBorder="1" applyAlignment="1">
      <alignment horizontal="center" wrapText="1"/>
    </xf>
    <xf numFmtId="4" fontId="1" fillId="0" borderId="58" xfId="0" applyNumberFormat="1" applyFont="1" applyBorder="1" applyAlignment="1">
      <alignment wrapText="1"/>
    </xf>
    <xf numFmtId="0" fontId="13" fillId="0" borderId="0" xfId="0" applyFont="1" applyFill="1" applyAlignment="1">
      <alignment/>
    </xf>
    <xf numFmtId="0" fontId="13" fillId="0" borderId="1" xfId="0" applyFont="1" applyFill="1" applyBorder="1" applyAlignment="1">
      <alignment horizontal="center" wrapText="1"/>
    </xf>
    <xf numFmtId="0" fontId="13" fillId="0" borderId="1" xfId="0" applyFont="1" applyFill="1" applyBorder="1" applyAlignment="1">
      <alignment wrapText="1"/>
    </xf>
    <xf numFmtId="4" fontId="13" fillId="0" borderId="0" xfId="0" applyNumberFormat="1" applyFont="1" applyFill="1" applyAlignment="1">
      <alignment/>
    </xf>
    <xf numFmtId="0" fontId="14" fillId="0" borderId="0" xfId="0" applyFont="1" applyFill="1" applyAlignment="1">
      <alignment horizontal="right"/>
    </xf>
    <xf numFmtId="0" fontId="17" fillId="0" borderId="0" xfId="0" applyFont="1" applyAlignment="1">
      <alignment/>
    </xf>
    <xf numFmtId="0" fontId="17" fillId="0" borderId="0" xfId="0" applyFont="1" applyBorder="1" applyAlignment="1">
      <alignment/>
    </xf>
    <xf numFmtId="0" fontId="64" fillId="0" borderId="0" xfId="0" applyFont="1" applyBorder="1" applyAlignment="1">
      <alignment/>
    </xf>
    <xf numFmtId="0" fontId="64" fillId="0" borderId="0" xfId="0" applyFont="1" applyAlignment="1">
      <alignment/>
    </xf>
    <xf numFmtId="4" fontId="11" fillId="0" borderId="56" xfId="0" applyNumberFormat="1" applyFont="1" applyFill="1" applyBorder="1" applyAlignment="1">
      <alignment horizontal="center" wrapText="1"/>
    </xf>
    <xf numFmtId="0" fontId="19" fillId="0" borderId="60" xfId="0" applyFont="1" applyFill="1" applyBorder="1" applyAlignment="1">
      <alignment horizontal="center" wrapText="1"/>
    </xf>
    <xf numFmtId="0" fontId="19" fillId="0" borderId="60" xfId="0" applyFont="1" applyFill="1" applyBorder="1" applyAlignment="1">
      <alignment wrapText="1"/>
    </xf>
    <xf numFmtId="4" fontId="12" fillId="0" borderId="60" xfId="0" applyNumberFormat="1" applyFont="1" applyFill="1" applyBorder="1" applyAlignment="1">
      <alignment horizontal="right" wrapText="1"/>
    </xf>
    <xf numFmtId="10" fontId="12" fillId="0" borderId="60" xfId="0" applyNumberFormat="1" applyFont="1" applyFill="1" applyBorder="1" applyAlignment="1">
      <alignment horizontal="center" wrapText="1"/>
    </xf>
    <xf numFmtId="0" fontId="19" fillId="0" borderId="29" xfId="0" applyFont="1" applyFill="1" applyBorder="1" applyAlignment="1">
      <alignment wrapText="1"/>
    </xf>
    <xf numFmtId="4" fontId="12" fillId="0" borderId="29" xfId="0" applyNumberFormat="1" applyFont="1" applyFill="1" applyBorder="1" applyAlignment="1">
      <alignment horizontal="right" wrapText="1"/>
    </xf>
    <xf numFmtId="10" fontId="12" fillId="0" borderId="29" xfId="0" applyNumberFormat="1" applyFont="1" applyFill="1" applyBorder="1" applyAlignment="1">
      <alignment horizontal="center" wrapText="1"/>
    </xf>
    <xf numFmtId="4" fontId="11" fillId="0" borderId="29" xfId="0" applyNumberFormat="1" applyFont="1" applyFill="1" applyBorder="1" applyAlignment="1">
      <alignment horizontal="right" wrapText="1"/>
    </xf>
    <xf numFmtId="4" fontId="11" fillId="0" borderId="29" xfId="0" applyNumberFormat="1" applyFont="1" applyFill="1" applyBorder="1" applyAlignment="1">
      <alignment horizontal="center" wrapText="1"/>
    </xf>
    <xf numFmtId="0" fontId="19" fillId="0" borderId="29" xfId="0" applyFont="1" applyFill="1" applyBorder="1" applyAlignment="1">
      <alignment/>
    </xf>
    <xf numFmtId="0" fontId="12" fillId="0" borderId="1" xfId="0" applyFont="1" applyFill="1" applyBorder="1" applyAlignment="1">
      <alignment horizontal="center" wrapText="1"/>
    </xf>
    <xf numFmtId="3" fontId="11" fillId="0" borderId="0" xfId="0" applyNumberFormat="1" applyFont="1" applyFill="1" applyAlignment="1">
      <alignment/>
    </xf>
    <xf numFmtId="0" fontId="11" fillId="0" borderId="0" xfId="0" applyFont="1" applyFill="1" applyAlignment="1">
      <alignment/>
    </xf>
    <xf numFmtId="3" fontId="12" fillId="0" borderId="0" xfId="0" applyNumberFormat="1" applyFont="1" applyFill="1" applyAlignment="1">
      <alignment/>
    </xf>
    <xf numFmtId="0" fontId="12" fillId="0" borderId="0" xfId="0"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19" fillId="0" borderId="15" xfId="1607" applyNumberFormat="1" applyFont="1" applyFill="1" applyBorder="1" applyAlignment="1">
      <alignment horizontal="right"/>
      <protection/>
    </xf>
    <xf numFmtId="4" fontId="19" fillId="0" borderId="29" xfId="0" applyNumberFormat="1" applyFont="1" applyFill="1" applyBorder="1" applyAlignment="1">
      <alignment horizontal="right" wrapText="1"/>
    </xf>
    <xf numFmtId="4" fontId="19" fillId="0" borderId="29" xfId="1607" applyNumberFormat="1" applyFont="1" applyFill="1" applyBorder="1" applyAlignment="1">
      <alignment/>
      <protection/>
    </xf>
    <xf numFmtId="4" fontId="2" fillId="0" borderId="29" xfId="0" applyNumberFormat="1" applyFont="1" applyFill="1" applyBorder="1" applyAlignment="1">
      <alignment horizontal="right" wrapText="1"/>
    </xf>
    <xf numFmtId="4" fontId="17" fillId="0" borderId="29" xfId="0" applyNumberFormat="1" applyFont="1" applyFill="1" applyBorder="1" applyAlignment="1">
      <alignment horizontal="right" wrapText="1"/>
    </xf>
    <xf numFmtId="4" fontId="19" fillId="0" borderId="10" xfId="0" applyNumberFormat="1" applyFont="1" applyFill="1" applyBorder="1" applyAlignment="1">
      <alignment horizontal="right" wrapText="1"/>
    </xf>
    <xf numFmtId="0" fontId="19" fillId="0" borderId="58" xfId="0" applyNumberFormat="1" applyFont="1" applyFill="1" applyBorder="1" applyAlignment="1">
      <alignment horizontal="center" wrapText="1"/>
    </xf>
    <xf numFmtId="0" fontId="19" fillId="0" borderId="58" xfId="0" applyNumberFormat="1" applyFont="1" applyFill="1" applyBorder="1" applyAlignment="1">
      <alignment wrapText="1"/>
    </xf>
    <xf numFmtId="3" fontId="19" fillId="0" borderId="58" xfId="0" applyNumberFormat="1" applyFont="1" applyFill="1" applyBorder="1" applyAlignment="1">
      <alignment horizontal="center" wrapText="1"/>
    </xf>
    <xf numFmtId="4" fontId="19" fillId="0" borderId="58" xfId="0" applyNumberFormat="1" applyFont="1" applyFill="1" applyBorder="1" applyAlignment="1">
      <alignment horizontal="right" wrapText="1"/>
    </xf>
    <xf numFmtId="10" fontId="19" fillId="0" borderId="58" xfId="0" applyNumberFormat="1" applyFont="1" applyFill="1" applyBorder="1" applyAlignment="1">
      <alignment horizontal="center" wrapText="1"/>
    </xf>
    <xf numFmtId="0" fontId="19" fillId="0" borderId="15" xfId="0" applyNumberFormat="1" applyFont="1" applyFill="1" applyBorder="1" applyAlignment="1">
      <alignment horizontal="center" wrapText="1"/>
    </xf>
    <xf numFmtId="0" fontId="19" fillId="0" borderId="15" xfId="0" applyNumberFormat="1" applyFont="1" applyFill="1" applyBorder="1" applyAlignment="1">
      <alignment wrapText="1"/>
    </xf>
    <xf numFmtId="4" fontId="19" fillId="0" borderId="15" xfId="0" applyNumberFormat="1" applyFont="1" applyFill="1" applyBorder="1" applyAlignment="1">
      <alignment horizontal="right" wrapText="1"/>
    </xf>
    <xf numFmtId="0" fontId="19" fillId="0" borderId="58" xfId="0" applyFont="1" applyFill="1" applyBorder="1" applyAlignment="1">
      <alignment horizontal="center" wrapText="1"/>
    </xf>
    <xf numFmtId="0" fontId="19" fillId="0" borderId="58" xfId="0" applyFont="1" applyFill="1" applyBorder="1" applyAlignment="1">
      <alignment wrapText="1"/>
    </xf>
    <xf numFmtId="0" fontId="7" fillId="0" borderId="55" xfId="0" applyFont="1" applyBorder="1" applyAlignment="1">
      <alignment horizontal="center" wrapText="1"/>
    </xf>
    <xf numFmtId="182" fontId="19" fillId="0" borderId="55" xfId="1605" applyNumberFormat="1" applyFont="1" applyFill="1" applyBorder="1" applyAlignment="1">
      <alignment horizontal="left" vertical="center" wrapText="1"/>
      <protection/>
    </xf>
    <xf numFmtId="3" fontId="9" fillId="0" borderId="55" xfId="0" applyNumberFormat="1" applyFont="1" applyBorder="1" applyAlignment="1">
      <alignment wrapText="1"/>
    </xf>
    <xf numFmtId="4" fontId="7" fillId="0" borderId="55" xfId="0" applyNumberFormat="1" applyFont="1" applyBorder="1" applyAlignment="1">
      <alignment wrapText="1"/>
    </xf>
    <xf numFmtId="4" fontId="9" fillId="0" borderId="55" xfId="0" applyNumberFormat="1" applyFont="1" applyBorder="1" applyAlignment="1">
      <alignment horizontal="center" wrapText="1"/>
    </xf>
    <xf numFmtId="0" fontId="7" fillId="0" borderId="15" xfId="0" applyFont="1" applyBorder="1" applyAlignment="1">
      <alignment horizontal="center" wrapText="1"/>
    </xf>
    <xf numFmtId="0" fontId="19" fillId="0" borderId="15" xfId="0" applyFont="1" applyBorder="1" applyAlignment="1">
      <alignment wrapText="1"/>
    </xf>
    <xf numFmtId="3" fontId="9" fillId="0" borderId="15" xfId="0" applyNumberFormat="1" applyFont="1" applyBorder="1" applyAlignment="1">
      <alignment wrapText="1"/>
    </xf>
    <xf numFmtId="4" fontId="7" fillId="0" borderId="15" xfId="0" applyNumberFormat="1" applyFont="1" applyBorder="1" applyAlignment="1">
      <alignment wrapText="1"/>
    </xf>
    <xf numFmtId="4" fontId="9" fillId="0" borderId="15" xfId="0" applyNumberFormat="1" applyFont="1" applyBorder="1" applyAlignment="1">
      <alignment horizontal="center" wrapText="1"/>
    </xf>
    <xf numFmtId="0" fontId="10" fillId="0" borderId="58" xfId="0" applyFont="1" applyBorder="1" applyAlignment="1">
      <alignment/>
    </xf>
    <xf numFmtId="0" fontId="7" fillId="0" borderId="58" xfId="0" applyFont="1" applyBorder="1" applyAlignment="1">
      <alignment/>
    </xf>
    <xf numFmtId="0" fontId="18" fillId="0" borderId="58" xfId="0" applyFont="1" applyBorder="1" applyAlignment="1">
      <alignment/>
    </xf>
    <xf numFmtId="0" fontId="17" fillId="0" borderId="29" xfId="0" applyFont="1" applyFill="1" applyBorder="1" applyAlignment="1">
      <alignment wrapText="1"/>
    </xf>
    <xf numFmtId="43" fontId="13" fillId="0" borderId="0" xfId="0" applyNumberFormat="1" applyFont="1" applyAlignment="1">
      <alignment/>
    </xf>
    <xf numFmtId="0" fontId="54" fillId="0" borderId="28" xfId="0" applyFont="1" applyFill="1" applyBorder="1" applyAlignment="1">
      <alignment horizontal="center" vertical="center" wrapText="1"/>
    </xf>
    <xf numFmtId="4" fontId="54" fillId="0" borderId="28" xfId="0" applyNumberFormat="1" applyFont="1" applyFill="1" applyBorder="1" applyAlignment="1">
      <alignment horizontal="center" vertical="center" wrapText="1"/>
    </xf>
    <xf numFmtId="0" fontId="54" fillId="0" borderId="29" xfId="0" applyFont="1" applyFill="1" applyBorder="1" applyAlignment="1">
      <alignment horizontal="center" vertical="center" wrapText="1"/>
    </xf>
    <xf numFmtId="0" fontId="54" fillId="0" borderId="29" xfId="0" applyFont="1" applyFill="1" applyBorder="1" applyAlignment="1">
      <alignment horizontal="left" vertical="center" wrapText="1"/>
    </xf>
    <xf numFmtId="4" fontId="54" fillId="0" borderId="29" xfId="0" applyNumberFormat="1" applyFont="1" applyFill="1" applyBorder="1" applyAlignment="1">
      <alignment horizontal="center" vertical="center" wrapText="1"/>
    </xf>
    <xf numFmtId="4" fontId="54" fillId="0" borderId="29" xfId="0" applyNumberFormat="1" applyFont="1" applyFill="1" applyBorder="1" applyAlignment="1">
      <alignment vertical="center" wrapText="1"/>
    </xf>
    <xf numFmtId="0" fontId="56" fillId="0" borderId="29" xfId="0" applyFont="1" applyFill="1" applyBorder="1" applyAlignment="1">
      <alignment horizontal="justify" vertical="center" wrapText="1"/>
    </xf>
    <xf numFmtId="0" fontId="37" fillId="0" borderId="29" xfId="0" applyFont="1" applyFill="1" applyBorder="1" applyAlignment="1">
      <alignment horizontal="center" wrapText="1"/>
    </xf>
    <xf numFmtId="0" fontId="37" fillId="0" borderId="29" xfId="0" applyFont="1" applyFill="1" applyBorder="1" applyAlignment="1">
      <alignment horizontal="center"/>
    </xf>
    <xf numFmtId="0" fontId="37" fillId="0" borderId="29" xfId="0" applyFont="1" applyFill="1" applyBorder="1" applyAlignment="1">
      <alignment/>
    </xf>
    <xf numFmtId="0" fontId="54" fillId="0" borderId="29" xfId="0" applyFont="1" applyFill="1" applyBorder="1" applyAlignment="1">
      <alignment horizontal="center"/>
    </xf>
    <xf numFmtId="0" fontId="54" fillId="0" borderId="29" xfId="0" applyFont="1" applyFill="1" applyBorder="1" applyAlignment="1">
      <alignment/>
    </xf>
    <xf numFmtId="4" fontId="54" fillId="0" borderId="29" xfId="0" applyNumberFormat="1" applyFont="1" applyFill="1" applyBorder="1" applyAlignment="1">
      <alignment/>
    </xf>
    <xf numFmtId="0" fontId="56" fillId="0" borderId="29" xfId="0" applyFont="1" applyFill="1" applyBorder="1" applyAlignment="1">
      <alignment horizontal="center"/>
    </xf>
    <xf numFmtId="0" fontId="56" fillId="0" borderId="29" xfId="0" applyFont="1" applyFill="1" applyBorder="1" applyAlignment="1">
      <alignment/>
    </xf>
    <xf numFmtId="4" fontId="56" fillId="0" borderId="29" xfId="0" applyNumberFormat="1" applyFont="1" applyFill="1" applyBorder="1" applyAlignment="1">
      <alignment/>
    </xf>
    <xf numFmtId="0" fontId="37" fillId="0" borderId="29" xfId="0" applyFont="1" applyFill="1" applyBorder="1" applyAlignment="1">
      <alignment horizontal="justify" vertical="center" wrapText="1"/>
    </xf>
    <xf numFmtId="4" fontId="37" fillId="0" borderId="29" xfId="0" applyNumberFormat="1" applyFont="1" applyFill="1" applyBorder="1" applyAlignment="1">
      <alignment/>
    </xf>
    <xf numFmtId="0" fontId="54" fillId="0" borderId="29" xfId="0" applyFont="1" applyFill="1" applyBorder="1" applyAlignment="1">
      <alignment wrapText="1"/>
    </xf>
    <xf numFmtId="0" fontId="37" fillId="0" borderId="29" xfId="0" applyFont="1" applyFill="1" applyBorder="1" applyAlignment="1">
      <alignment wrapText="1"/>
    </xf>
    <xf numFmtId="0" fontId="37" fillId="0" borderId="58" xfId="0" applyFont="1" applyFill="1" applyBorder="1" applyAlignment="1">
      <alignment horizontal="center"/>
    </xf>
    <xf numFmtId="0" fontId="37" fillId="0" borderId="58" xfId="0" applyFont="1" applyFill="1" applyBorder="1" applyAlignment="1">
      <alignment/>
    </xf>
    <xf numFmtId="0" fontId="37" fillId="0" borderId="58" xfId="0" applyFont="1" applyFill="1" applyBorder="1" applyAlignment="1">
      <alignment horizontal="center" wrapText="1"/>
    </xf>
    <xf numFmtId="4" fontId="37" fillId="0" borderId="58" xfId="0" applyNumberFormat="1" applyFont="1" applyFill="1" applyBorder="1" applyAlignment="1">
      <alignment/>
    </xf>
    <xf numFmtId="4" fontId="19" fillId="0" borderId="0" xfId="0" applyNumberFormat="1" applyFont="1" applyFill="1" applyAlignment="1">
      <alignment/>
    </xf>
    <xf numFmtId="4" fontId="7" fillId="0" borderId="58" xfId="0" applyNumberFormat="1" applyFont="1" applyBorder="1" applyAlignment="1">
      <alignment/>
    </xf>
    <xf numFmtId="4" fontId="19" fillId="0" borderId="58" xfId="0" applyNumberFormat="1" applyFont="1" applyBorder="1" applyAlignment="1">
      <alignment/>
    </xf>
    <xf numFmtId="0" fontId="1" fillId="0" borderId="1" xfId="0" applyFont="1" applyFill="1" applyBorder="1" applyAlignment="1">
      <alignment horizontal="center" wrapText="1"/>
    </xf>
    <xf numFmtId="3" fontId="1" fillId="0" borderId="1" xfId="0" applyNumberFormat="1" applyFont="1" applyFill="1" applyBorder="1" applyAlignment="1">
      <alignment horizontal="center" wrapText="1"/>
    </xf>
    <xf numFmtId="4" fontId="1" fillId="0" borderId="1" xfId="0" applyNumberFormat="1" applyFont="1" applyFill="1" applyBorder="1" applyAlignment="1">
      <alignment horizontal="center" wrapText="1"/>
    </xf>
    <xf numFmtId="0" fontId="51" fillId="0" borderId="15" xfId="0" applyFont="1" applyBorder="1" applyAlignment="1">
      <alignment horizontal="center" wrapText="1"/>
    </xf>
    <xf numFmtId="0" fontId="51" fillId="0" borderId="15" xfId="0" applyFont="1" applyBorder="1" applyAlignment="1">
      <alignment wrapText="1"/>
    </xf>
    <xf numFmtId="3" fontId="51" fillId="0" borderId="15" xfId="0" applyNumberFormat="1" applyFont="1" applyBorder="1" applyAlignment="1">
      <alignment horizontal="right" wrapText="1"/>
    </xf>
    <xf numFmtId="4" fontId="51" fillId="0" borderId="15" xfId="0" applyNumberFormat="1" applyFont="1" applyBorder="1" applyAlignment="1">
      <alignment horizontal="right" wrapText="1"/>
    </xf>
    <xf numFmtId="10" fontId="51" fillId="0" borderId="15" xfId="0" applyNumberFormat="1" applyFont="1" applyBorder="1" applyAlignment="1">
      <alignment horizontal="right" wrapText="1"/>
    </xf>
    <xf numFmtId="0" fontId="51" fillId="0" borderId="1" xfId="0" applyFont="1" applyBorder="1" applyAlignment="1">
      <alignment wrapText="1"/>
    </xf>
    <xf numFmtId="3" fontId="51" fillId="0" borderId="1" xfId="0" applyNumberFormat="1" applyFont="1" applyBorder="1" applyAlignment="1">
      <alignment horizontal="right" wrapText="1"/>
    </xf>
    <xf numFmtId="4" fontId="51" fillId="0" borderId="1" xfId="0" applyNumberFormat="1" applyFont="1" applyBorder="1" applyAlignment="1">
      <alignment horizontal="right" wrapText="1"/>
    </xf>
    <xf numFmtId="10" fontId="51" fillId="0" borderId="1" xfId="0" applyNumberFormat="1" applyFont="1" applyBorder="1" applyAlignment="1">
      <alignment horizontal="right" wrapText="1"/>
    </xf>
    <xf numFmtId="173" fontId="29" fillId="0" borderId="29" xfId="1009" applyFont="1" applyBorder="1" applyAlignment="1">
      <alignment horizontal="center" wrapText="1"/>
    </xf>
    <xf numFmtId="173" fontId="15" fillId="0" borderId="29" xfId="1009" applyFont="1" applyBorder="1" applyAlignment="1">
      <alignment horizontal="center" wrapText="1"/>
    </xf>
    <xf numFmtId="173" fontId="53" fillId="0" borderId="29" xfId="1009" applyFont="1" applyBorder="1" applyAlignment="1">
      <alignment horizontal="center" wrapText="1"/>
    </xf>
    <xf numFmtId="173" fontId="15" fillId="53" borderId="29" xfId="1009" applyFont="1" applyFill="1" applyBorder="1" applyAlignment="1">
      <alignment horizontal="center" wrapText="1"/>
    </xf>
    <xf numFmtId="173" fontId="13" fillId="0" borderId="15" xfId="1009" applyFont="1" applyBorder="1" applyAlignment="1">
      <alignment horizontal="center" wrapText="1"/>
    </xf>
    <xf numFmtId="173" fontId="1" fillId="0" borderId="29" xfId="1009" applyFont="1" applyFill="1" applyBorder="1" applyAlignment="1">
      <alignment horizontal="center" wrapText="1"/>
    </xf>
    <xf numFmtId="173" fontId="45" fillId="0" borderId="29" xfId="1009" applyFont="1" applyBorder="1" applyAlignment="1">
      <alignment horizontal="center" wrapText="1"/>
    </xf>
    <xf numFmtId="173" fontId="1" fillId="0" borderId="55" xfId="1009" applyFont="1" applyBorder="1" applyAlignment="1">
      <alignment horizontal="center" wrapText="1"/>
    </xf>
    <xf numFmtId="173" fontId="13" fillId="53" borderId="15" xfId="1009" applyFont="1" applyFill="1" applyBorder="1" applyAlignment="1">
      <alignment horizontal="center" wrapText="1"/>
    </xf>
    <xf numFmtId="173" fontId="13" fillId="0" borderId="15" xfId="1009" applyFont="1" applyBorder="1" applyAlignment="1">
      <alignment horizontal="right" wrapText="1"/>
    </xf>
    <xf numFmtId="173" fontId="1" fillId="53" borderId="15" xfId="1009" applyFont="1" applyFill="1" applyBorder="1" applyAlignment="1">
      <alignment horizontal="right" wrapText="1"/>
    </xf>
    <xf numFmtId="173" fontId="1" fillId="0" borderId="15" xfId="1009" applyFont="1" applyBorder="1" applyAlignment="1">
      <alignment horizontal="right" wrapText="1"/>
    </xf>
    <xf numFmtId="173" fontId="1" fillId="0" borderId="29" xfId="1009" applyFont="1" applyBorder="1" applyAlignment="1">
      <alignment horizontal="right" wrapText="1"/>
    </xf>
    <xf numFmtId="173" fontId="1" fillId="0" borderId="15" xfId="1009" applyFont="1" applyFill="1" applyBorder="1" applyAlignment="1">
      <alignment horizontal="right" wrapText="1"/>
    </xf>
    <xf numFmtId="173" fontId="1" fillId="53" borderId="29" xfId="1009" applyFont="1" applyFill="1" applyBorder="1" applyAlignment="1">
      <alignment horizontal="right" wrapText="1"/>
    </xf>
    <xf numFmtId="173" fontId="1" fillId="53" borderId="29" xfId="1009" applyFont="1" applyFill="1" applyBorder="1" applyAlignment="1">
      <alignment horizontal="right" wrapText="1"/>
    </xf>
    <xf numFmtId="173" fontId="1" fillId="53" borderId="55" xfId="1009" applyFont="1" applyFill="1" applyBorder="1" applyAlignment="1">
      <alignment horizontal="right" wrapText="1"/>
    </xf>
    <xf numFmtId="173" fontId="1" fillId="53" borderId="15" xfId="1009" applyFont="1" applyFill="1" applyBorder="1" applyAlignment="1">
      <alignment horizontal="right" wrapText="1"/>
    </xf>
    <xf numFmtId="0" fontId="1" fillId="0" borderId="58" xfId="0" applyFont="1" applyBorder="1" applyAlignment="1">
      <alignment horizontal="center" wrapText="1"/>
    </xf>
    <xf numFmtId="0" fontId="1" fillId="53" borderId="58" xfId="0" applyFont="1" applyFill="1" applyBorder="1" applyAlignment="1">
      <alignment wrapText="1"/>
    </xf>
    <xf numFmtId="173" fontId="62" fillId="0" borderId="28" xfId="1009" applyFont="1" applyBorder="1" applyAlignment="1">
      <alignment horizontal="right" vertical="center" wrapText="1"/>
    </xf>
    <xf numFmtId="173" fontId="19" fillId="0" borderId="29" xfId="1009" applyFont="1" applyBorder="1" applyAlignment="1">
      <alignment horizontal="right" vertical="center" wrapText="1"/>
    </xf>
    <xf numFmtId="173" fontId="2" fillId="53" borderId="29" xfId="1009" applyFont="1" applyFill="1" applyBorder="1" applyAlignment="1">
      <alignment horizontal="right" wrapText="1"/>
    </xf>
    <xf numFmtId="173" fontId="2" fillId="0" borderId="29" xfId="1009" applyFont="1" applyBorder="1" applyAlignment="1">
      <alignment horizontal="right" wrapText="1"/>
    </xf>
    <xf numFmtId="173" fontId="38" fillId="0" borderId="1" xfId="1009" applyFont="1" applyBorder="1" applyAlignment="1">
      <alignment horizontal="right" wrapText="1"/>
    </xf>
    <xf numFmtId="0" fontId="1" fillId="0" borderId="1" xfId="0" applyFont="1" applyBorder="1" applyAlignment="1">
      <alignment horizontal="center" wrapText="1"/>
    </xf>
    <xf numFmtId="0" fontId="1" fillId="0" borderId="0" xfId="0" applyFont="1" applyFill="1" applyAlignment="1">
      <alignment horizontal="right"/>
    </xf>
    <xf numFmtId="0" fontId="57" fillId="0" borderId="1" xfId="0" applyFont="1" applyFill="1" applyBorder="1" applyAlignment="1">
      <alignment horizontal="center" vertical="center" wrapText="1"/>
    </xf>
    <xf numFmtId="18" fontId="57" fillId="0" borderId="0" xfId="0" applyNumberFormat="1" applyFont="1" applyFill="1" applyAlignment="1">
      <alignment/>
    </xf>
    <xf numFmtId="0" fontId="58" fillId="0" borderId="0" xfId="0" applyFont="1" applyFill="1" applyAlignment="1">
      <alignment/>
    </xf>
    <xf numFmtId="0" fontId="12" fillId="0" borderId="28" xfId="0" applyFont="1" applyFill="1" applyBorder="1" applyAlignment="1">
      <alignment horizontal="center" wrapText="1"/>
    </xf>
    <xf numFmtId="0" fontId="12" fillId="0" borderId="28" xfId="0" applyFont="1" applyFill="1" applyBorder="1" applyAlignment="1">
      <alignment wrapText="1"/>
    </xf>
    <xf numFmtId="4" fontId="11" fillId="0" borderId="28" xfId="0" applyNumberFormat="1" applyFont="1" applyFill="1" applyBorder="1" applyAlignment="1">
      <alignment horizontal="right" wrapText="1"/>
    </xf>
    <xf numFmtId="175" fontId="11" fillId="0" borderId="28" xfId="0" applyNumberFormat="1" applyFont="1" applyFill="1" applyBorder="1" applyAlignment="1">
      <alignment horizontal="right" wrapText="1"/>
    </xf>
    <xf numFmtId="0" fontId="11" fillId="0" borderId="28" xfId="0" applyFont="1" applyFill="1" applyBorder="1" applyAlignment="1">
      <alignment horizontal="center" wrapText="1"/>
    </xf>
    <xf numFmtId="0" fontId="12" fillId="0" borderId="29" xfId="0" applyFont="1" applyFill="1" applyBorder="1" applyAlignment="1">
      <alignment horizontal="center" wrapText="1"/>
    </xf>
    <xf numFmtId="0" fontId="12" fillId="0" borderId="29" xfId="0" applyFont="1" applyFill="1" applyBorder="1" applyAlignment="1">
      <alignment wrapText="1"/>
    </xf>
    <xf numFmtId="0" fontId="11" fillId="0" borderId="29" xfId="0" applyFont="1" applyFill="1" applyBorder="1" applyAlignment="1">
      <alignment horizontal="center" wrapText="1"/>
    </xf>
    <xf numFmtId="0" fontId="11" fillId="0" borderId="29" xfId="0" applyFont="1" applyFill="1" applyBorder="1" applyAlignment="1">
      <alignment wrapText="1"/>
    </xf>
    <xf numFmtId="10" fontId="11" fillId="0" borderId="29" xfId="0" applyNumberFormat="1" applyFont="1" applyFill="1" applyBorder="1" applyAlignment="1">
      <alignment horizontal="center" wrapText="1"/>
    </xf>
    <xf numFmtId="0" fontId="11" fillId="0" borderId="29" xfId="0" applyFont="1" applyFill="1" applyBorder="1" applyAlignment="1">
      <alignment/>
    </xf>
    <xf numFmtId="0" fontId="12" fillId="0" borderId="58" xfId="0" applyFont="1" applyFill="1" applyBorder="1" applyAlignment="1">
      <alignment horizontal="center" wrapText="1"/>
    </xf>
    <xf numFmtId="0" fontId="12" fillId="0" borderId="58" xfId="0" applyFont="1" applyFill="1" applyBorder="1" applyAlignment="1">
      <alignment wrapText="1"/>
    </xf>
    <xf numFmtId="4" fontId="12" fillId="0" borderId="58" xfId="0" applyNumberFormat="1" applyFont="1" applyFill="1" applyBorder="1" applyAlignment="1">
      <alignment horizontal="right" wrapText="1"/>
    </xf>
    <xf numFmtId="10" fontId="12" fillId="0" borderId="58" xfId="0" applyNumberFormat="1" applyFont="1" applyFill="1" applyBorder="1" applyAlignment="1">
      <alignment horizontal="center" wrapText="1"/>
    </xf>
    <xf numFmtId="173" fontId="2" fillId="0" borderId="0" xfId="0" applyNumberFormat="1" applyFont="1" applyAlignment="1">
      <alignment/>
    </xf>
    <xf numFmtId="173" fontId="15" fillId="0" borderId="29" xfId="1009" applyFont="1" applyFill="1" applyBorder="1" applyAlignment="1">
      <alignment horizontal="center" wrapText="1"/>
    </xf>
    <xf numFmtId="179" fontId="15" fillId="0" borderId="0" xfId="0" applyNumberFormat="1" applyFont="1" applyAlignment="1">
      <alignment/>
    </xf>
    <xf numFmtId="173" fontId="15" fillId="0" borderId="0" xfId="1009" applyFont="1" applyAlignment="1">
      <alignment/>
    </xf>
    <xf numFmtId="173" fontId="15" fillId="0" borderId="0" xfId="1009" applyFont="1" applyAlignment="1">
      <alignment vertical="center"/>
    </xf>
    <xf numFmtId="173" fontId="55" fillId="0" borderId="0" xfId="1009" applyFont="1" applyAlignment="1">
      <alignment/>
    </xf>
    <xf numFmtId="173" fontId="2" fillId="0" borderId="0" xfId="0" applyNumberFormat="1" applyFont="1" applyAlignment="1">
      <alignment/>
    </xf>
    <xf numFmtId="177" fontId="55" fillId="0" borderId="0" xfId="1009" applyNumberFormat="1" applyFont="1" applyAlignment="1">
      <alignment/>
    </xf>
    <xf numFmtId="43" fontId="63" fillId="0" borderId="0" xfId="0" applyNumberFormat="1" applyFont="1" applyAlignment="1">
      <alignment horizontal="center" vertical="center" wrapText="1"/>
    </xf>
    <xf numFmtId="0" fontId="11" fillId="0" borderId="29" xfId="0" applyFont="1" applyBorder="1" applyAlignment="1">
      <alignment wrapText="1"/>
    </xf>
    <xf numFmtId="0" fontId="11" fillId="53" borderId="29" xfId="0" applyFont="1" applyFill="1" applyBorder="1" applyAlignment="1">
      <alignment horizontal="left" wrapText="1"/>
    </xf>
    <xf numFmtId="0" fontId="11" fillId="53" borderId="29" xfId="0" applyFont="1" applyFill="1" applyBorder="1" applyAlignment="1">
      <alignment wrapText="1"/>
    </xf>
    <xf numFmtId="43" fontId="19" fillId="0" borderId="0" xfId="0" applyNumberFormat="1" applyFont="1" applyAlignment="1">
      <alignment horizontal="center" wrapText="1"/>
    </xf>
    <xf numFmtId="173" fontId="2" fillId="0" borderId="0" xfId="0" applyNumberFormat="1" applyFont="1" applyAlignment="1">
      <alignment horizontal="center" wrapText="1"/>
    </xf>
    <xf numFmtId="177" fontId="15" fillId="0" borderId="0" xfId="1009" applyNumberFormat="1" applyFont="1" applyAlignment="1">
      <alignment/>
    </xf>
    <xf numFmtId="177" fontId="37" fillId="0" borderId="0" xfId="1009" applyNumberFormat="1" applyFont="1" applyAlignment="1">
      <alignment vertical="center"/>
    </xf>
    <xf numFmtId="177" fontId="39" fillId="0" borderId="0" xfId="1009" applyNumberFormat="1" applyFont="1" applyAlignment="1">
      <alignment/>
    </xf>
    <xf numFmtId="173" fontId="30" fillId="0" borderId="29" xfId="1009" applyFont="1" applyBorder="1" applyAlignment="1">
      <alignment horizontal="center" wrapText="1"/>
    </xf>
    <xf numFmtId="0" fontId="13" fillId="0" borderId="1" xfId="0" applyFont="1" applyBorder="1" applyAlignment="1">
      <alignment horizontal="center" vertical="center" wrapText="1"/>
    </xf>
    <xf numFmtId="173" fontId="37" fillId="0" borderId="0" xfId="1009" applyFont="1" applyAlignment="1">
      <alignment/>
    </xf>
    <xf numFmtId="0" fontId="60" fillId="0" borderId="0" xfId="0" applyFont="1" applyFill="1" applyAlignment="1">
      <alignment/>
    </xf>
    <xf numFmtId="0" fontId="27" fillId="0" borderId="15" xfId="0" applyFont="1" applyBorder="1" applyAlignment="1">
      <alignment horizontal="center" wrapText="1"/>
    </xf>
    <xf numFmtId="173" fontId="19" fillId="0" borderId="15" xfId="1009" applyFont="1" applyBorder="1" applyAlignment="1">
      <alignment horizontal="center" wrapText="1"/>
    </xf>
    <xf numFmtId="173" fontId="1" fillId="0" borderId="15" xfId="1009" applyNumberFormat="1" applyFont="1" applyBorder="1" applyAlignment="1">
      <alignment horizontal="right" wrapText="1"/>
    </xf>
    <xf numFmtId="173" fontId="1" fillId="0" borderId="15" xfId="1116" applyFont="1" applyBorder="1" applyAlignment="1">
      <alignment horizontal="right" wrapText="1"/>
    </xf>
    <xf numFmtId="173" fontId="1" fillId="0" borderId="15" xfId="1117" applyFont="1" applyBorder="1" applyAlignment="1">
      <alignment horizontal="right" wrapText="1"/>
    </xf>
    <xf numFmtId="173" fontId="1" fillId="0" borderId="15" xfId="1121" applyFont="1" applyBorder="1" applyAlignment="1">
      <alignment horizontal="right" wrapText="1"/>
    </xf>
    <xf numFmtId="173" fontId="1" fillId="0" borderId="15" xfId="1122" applyFont="1" applyBorder="1" applyAlignment="1">
      <alignment horizontal="right" wrapText="1"/>
    </xf>
    <xf numFmtId="173" fontId="1" fillId="0" borderId="15" xfId="1126" applyFont="1" applyBorder="1" applyAlignment="1">
      <alignment horizontal="right" wrapText="1"/>
    </xf>
    <xf numFmtId="173" fontId="1" fillId="0" borderId="15" xfId="1129" applyFont="1" applyBorder="1" applyAlignment="1">
      <alignment horizontal="right" wrapText="1"/>
    </xf>
    <xf numFmtId="173" fontId="1" fillId="0" borderId="15" xfId="1135" applyFont="1" applyBorder="1" applyAlignment="1">
      <alignment horizontal="right" wrapText="1"/>
    </xf>
    <xf numFmtId="173" fontId="1" fillId="0" borderId="15" xfId="1138" applyFont="1" applyBorder="1" applyAlignment="1">
      <alignment horizontal="right" wrapText="1"/>
    </xf>
    <xf numFmtId="173" fontId="1" fillId="0" borderId="0" xfId="1009" applyFont="1" applyAlignment="1">
      <alignment vertical="center"/>
    </xf>
    <xf numFmtId="173" fontId="2" fillId="0" borderId="0" xfId="1009" applyFont="1" applyFill="1" applyAlignment="1">
      <alignment/>
    </xf>
    <xf numFmtId="173" fontId="1" fillId="0" borderId="15" xfId="1139" applyFont="1" applyBorder="1" applyAlignment="1">
      <alignment horizontal="right" wrapText="1"/>
    </xf>
    <xf numFmtId="173" fontId="1" fillId="0" borderId="15" xfId="1140" applyFont="1" applyBorder="1" applyAlignment="1">
      <alignment horizontal="right" wrapText="1"/>
    </xf>
    <xf numFmtId="173" fontId="1" fillId="0" borderId="15" xfId="1141" applyFont="1" applyBorder="1" applyAlignment="1">
      <alignment horizontal="right" wrapText="1"/>
    </xf>
    <xf numFmtId="173" fontId="1" fillId="0" borderId="15" xfId="1142" applyFont="1" applyBorder="1" applyAlignment="1">
      <alignment horizontal="right" wrapText="1"/>
    </xf>
    <xf numFmtId="173" fontId="1" fillId="0" borderId="15" xfId="1144" applyFont="1" applyBorder="1" applyAlignment="1">
      <alignment horizontal="right" wrapText="1"/>
    </xf>
    <xf numFmtId="173" fontId="1" fillId="0" borderId="15" xfId="1145" applyFont="1" applyBorder="1" applyAlignment="1">
      <alignment horizontal="right" wrapText="1"/>
    </xf>
    <xf numFmtId="43" fontId="1" fillId="0" borderId="0" xfId="0" applyNumberFormat="1" applyFont="1" applyAlignment="1">
      <alignment/>
    </xf>
    <xf numFmtId="173" fontId="1" fillId="0" borderId="15" xfId="1147" applyFont="1" applyBorder="1" applyAlignment="1">
      <alignment horizontal="right" wrapText="1"/>
    </xf>
    <xf numFmtId="287" fontId="2" fillId="0" borderId="0" xfId="1009" applyNumberFormat="1" applyFont="1" applyAlignment="1">
      <alignment/>
    </xf>
    <xf numFmtId="43" fontId="15" fillId="0" borderId="0" xfId="0" applyNumberFormat="1" applyFont="1" applyAlignment="1">
      <alignment/>
    </xf>
    <xf numFmtId="178" fontId="55" fillId="0" borderId="0" xfId="1009" applyNumberFormat="1" applyFont="1" applyAlignment="1">
      <alignment/>
    </xf>
    <xf numFmtId="178" fontId="30" fillId="0" borderId="0" xfId="1009" applyNumberFormat="1" applyFont="1" applyAlignment="1">
      <alignment/>
    </xf>
    <xf numFmtId="173" fontId="15" fillId="73" borderId="29" xfId="1009" applyFont="1" applyFill="1" applyBorder="1" applyAlignment="1">
      <alignment horizontal="center" wrapText="1"/>
    </xf>
    <xf numFmtId="287" fontId="1" fillId="0" borderId="0" xfId="1009" applyNumberFormat="1" applyFont="1" applyAlignment="1">
      <alignment vertical="center"/>
    </xf>
    <xf numFmtId="173" fontId="1" fillId="0" borderId="0" xfId="0" applyNumberFormat="1" applyFont="1" applyAlignment="1">
      <alignment vertical="center"/>
    </xf>
    <xf numFmtId="0" fontId="19" fillId="73" borderId="29" xfId="0" applyFont="1" applyFill="1" applyBorder="1" applyAlignment="1">
      <alignment horizontal="center" wrapText="1"/>
    </xf>
    <xf numFmtId="0" fontId="27" fillId="73" borderId="29" xfId="0" applyFont="1" applyFill="1" applyBorder="1" applyAlignment="1">
      <alignment wrapText="1"/>
    </xf>
    <xf numFmtId="177" fontId="19" fillId="73" borderId="29" xfId="1009" applyNumberFormat="1" applyFont="1" applyFill="1" applyBorder="1" applyAlignment="1">
      <alignment horizontal="center" wrapText="1"/>
    </xf>
    <xf numFmtId="173" fontId="19" fillId="73" borderId="29" xfId="1009" applyFont="1" applyFill="1" applyBorder="1" applyAlignment="1">
      <alignment horizontal="center" wrapText="1"/>
    </xf>
    <xf numFmtId="0" fontId="27" fillId="73" borderId="15" xfId="0" applyFont="1" applyFill="1" applyBorder="1" applyAlignment="1">
      <alignment horizontal="center" vertical="center" wrapText="1"/>
    </xf>
    <xf numFmtId="0" fontId="27" fillId="73" borderId="15" xfId="0" applyFont="1" applyFill="1" applyBorder="1" applyAlignment="1">
      <alignment horizontal="left" vertical="center" wrapText="1"/>
    </xf>
    <xf numFmtId="0" fontId="27" fillId="73" borderId="29" xfId="0" applyFont="1" applyFill="1" applyBorder="1" applyAlignment="1">
      <alignment horizontal="center" vertical="center" wrapText="1"/>
    </xf>
    <xf numFmtId="0" fontId="27" fillId="73" borderId="29" xfId="0" applyFont="1" applyFill="1" applyBorder="1" applyAlignment="1">
      <alignment horizontal="left" vertical="center" wrapText="1"/>
    </xf>
    <xf numFmtId="0" fontId="15" fillId="73" borderId="29" xfId="0" applyFont="1" applyFill="1" applyBorder="1" applyAlignment="1">
      <alignment wrapText="1"/>
    </xf>
    <xf numFmtId="0" fontId="2" fillId="73" borderId="29" xfId="1608" applyFont="1" applyFill="1" applyBorder="1" applyAlignment="1">
      <alignment horizontal="center"/>
      <protection/>
    </xf>
    <xf numFmtId="173" fontId="2" fillId="73" borderId="29" xfId="1009" applyFont="1" applyFill="1" applyBorder="1" applyAlignment="1">
      <alignment horizontal="center" wrapText="1"/>
    </xf>
    <xf numFmtId="0" fontId="2" fillId="73" borderId="29" xfId="0" applyFont="1" applyFill="1" applyBorder="1" applyAlignment="1">
      <alignment horizontal="center" wrapText="1"/>
    </xf>
    <xf numFmtId="0" fontId="15" fillId="73" borderId="29" xfId="0" applyFont="1" applyFill="1" applyBorder="1" applyAlignment="1">
      <alignment horizontal="left" vertical="center" wrapText="1"/>
    </xf>
    <xf numFmtId="0" fontId="15" fillId="73" borderId="29" xfId="0" applyFont="1" applyFill="1" applyBorder="1" applyAlignment="1">
      <alignment horizontal="center" vertical="center" wrapText="1"/>
    </xf>
    <xf numFmtId="0" fontId="27" fillId="73" borderId="29" xfId="1582" applyFont="1" applyFill="1" applyBorder="1" applyAlignment="1">
      <alignment horizontal="left" vertical="center" wrapText="1"/>
      <protection/>
    </xf>
    <xf numFmtId="0" fontId="27" fillId="73" borderId="29" xfId="0" applyFont="1" applyFill="1" applyBorder="1" applyAlignment="1">
      <alignment vertical="center" wrapText="1"/>
    </xf>
    <xf numFmtId="0" fontId="15" fillId="73" borderId="29" xfId="0" applyFont="1" applyFill="1" applyBorder="1" applyAlignment="1">
      <alignment horizontal="left" wrapText="1"/>
    </xf>
    <xf numFmtId="0" fontId="27" fillId="73" borderId="29" xfId="0" applyFont="1" applyFill="1" applyBorder="1" applyAlignment="1">
      <alignment horizontal="left" wrapText="1"/>
    </xf>
    <xf numFmtId="0" fontId="19" fillId="73" borderId="15" xfId="0" applyFont="1" applyFill="1" applyBorder="1" applyAlignment="1">
      <alignment horizontal="center" wrapText="1"/>
    </xf>
    <xf numFmtId="0" fontId="27" fillId="73" borderId="15" xfId="0" applyFont="1" applyFill="1" applyBorder="1" applyAlignment="1">
      <alignment wrapText="1"/>
    </xf>
    <xf numFmtId="0" fontId="2" fillId="73" borderId="15" xfId="0" applyFont="1" applyFill="1" applyBorder="1" applyAlignment="1">
      <alignment horizontal="center" wrapText="1"/>
    </xf>
    <xf numFmtId="0" fontId="15" fillId="73" borderId="15" xfId="0" applyFont="1" applyFill="1" applyBorder="1" applyAlignment="1">
      <alignment wrapText="1"/>
    </xf>
    <xf numFmtId="0" fontId="15" fillId="73" borderId="15" xfId="0" applyFont="1" applyFill="1" applyBorder="1" applyAlignment="1">
      <alignment horizontal="left" vertical="center" wrapText="1"/>
    </xf>
    <xf numFmtId="0" fontId="27" fillId="73" borderId="15" xfId="1582" applyFont="1" applyFill="1" applyBorder="1" applyAlignment="1">
      <alignment horizontal="left" vertical="center" wrapText="1"/>
      <protection/>
    </xf>
    <xf numFmtId="0" fontId="15" fillId="73" borderId="29" xfId="0" applyFont="1" applyFill="1" applyBorder="1" applyAlignment="1">
      <alignment vertical="center" wrapText="1"/>
    </xf>
    <xf numFmtId="0" fontId="2" fillId="73" borderId="29" xfId="0" applyFont="1" applyFill="1" applyBorder="1" applyAlignment="1">
      <alignment wrapText="1"/>
    </xf>
    <xf numFmtId="173" fontId="2" fillId="73" borderId="55" xfId="1009" applyFont="1" applyFill="1" applyBorder="1" applyAlignment="1">
      <alignment horizontal="center" wrapText="1"/>
    </xf>
    <xf numFmtId="0" fontId="15" fillId="73" borderId="55" xfId="0" applyFont="1" applyFill="1" applyBorder="1" applyAlignment="1">
      <alignment vertical="center" wrapText="1"/>
    </xf>
    <xf numFmtId="0" fontId="27" fillId="73" borderId="55" xfId="0" applyFont="1" applyFill="1" applyBorder="1" applyAlignment="1">
      <alignment vertical="center" wrapText="1"/>
    </xf>
    <xf numFmtId="173" fontId="19" fillId="73" borderId="55" xfId="1009" applyFont="1" applyFill="1" applyBorder="1" applyAlignment="1">
      <alignment horizontal="center" wrapText="1"/>
    </xf>
    <xf numFmtId="0" fontId="2" fillId="73" borderId="58" xfId="0" applyFont="1" applyFill="1" applyBorder="1" applyAlignment="1">
      <alignment horizontal="center" wrapText="1"/>
    </xf>
    <xf numFmtId="0" fontId="15" fillId="73" borderId="58" xfId="0" applyFont="1" applyFill="1" applyBorder="1" applyAlignment="1">
      <alignment vertical="center" wrapText="1"/>
    </xf>
    <xf numFmtId="173" fontId="2" fillId="73" borderId="58" xfId="1009" applyFont="1" applyFill="1" applyBorder="1" applyAlignment="1">
      <alignment horizontal="center" wrapText="1"/>
    </xf>
    <xf numFmtId="9" fontId="19" fillId="73" borderId="29" xfId="1653" applyFont="1" applyFill="1" applyBorder="1" applyAlignment="1">
      <alignment horizontal="center" wrapText="1"/>
    </xf>
    <xf numFmtId="9" fontId="2" fillId="73" borderId="29" xfId="1653" applyFont="1" applyFill="1" applyBorder="1" applyAlignment="1">
      <alignment horizontal="center" wrapText="1"/>
    </xf>
    <xf numFmtId="9" fontId="2" fillId="73" borderId="58" xfId="1653" applyFont="1" applyFill="1" applyBorder="1" applyAlignment="1">
      <alignment horizontal="center" wrapText="1"/>
    </xf>
    <xf numFmtId="173" fontId="2" fillId="73" borderId="29" xfId="1009" applyFont="1" applyFill="1" applyBorder="1" applyAlignment="1">
      <alignment horizontal="center"/>
    </xf>
    <xf numFmtId="43" fontId="15" fillId="0" borderId="0" xfId="0" applyNumberFormat="1" applyFont="1" applyAlignment="1">
      <alignment/>
    </xf>
    <xf numFmtId="178" fontId="1" fillId="0" borderId="0" xfId="1009" applyNumberFormat="1" applyFont="1" applyAlignment="1">
      <alignment vertical="center"/>
    </xf>
    <xf numFmtId="173" fontId="265" fillId="73" borderId="29" xfId="1009" applyFont="1" applyFill="1" applyBorder="1" applyAlignment="1">
      <alignment horizontal="center" wrapText="1"/>
    </xf>
    <xf numFmtId="173" fontId="2" fillId="0" borderId="0" xfId="1009" applyFont="1" applyAlignment="1">
      <alignment/>
    </xf>
    <xf numFmtId="173" fontId="1" fillId="0" borderId="0" xfId="1009" applyFont="1" applyAlignment="1">
      <alignment vertical="center"/>
    </xf>
    <xf numFmtId="173" fontId="16" fillId="0" borderId="0" xfId="1009" applyFont="1" applyAlignment="1">
      <alignment vertical="center"/>
    </xf>
    <xf numFmtId="173" fontId="2" fillId="0" borderId="0" xfId="1009" applyFont="1" applyAlignment="1">
      <alignment vertical="center"/>
    </xf>
    <xf numFmtId="173" fontId="50" fillId="0" borderId="0" xfId="1009" applyFont="1" applyFill="1" applyAlignment="1">
      <alignment/>
    </xf>
    <xf numFmtId="173" fontId="60" fillId="0" borderId="0" xfId="1009" applyFont="1" applyFill="1" applyAlignment="1">
      <alignment/>
    </xf>
    <xf numFmtId="173" fontId="2" fillId="0" borderId="0" xfId="1009" applyFont="1" applyAlignment="1">
      <alignment/>
    </xf>
    <xf numFmtId="173" fontId="19" fillId="0" borderId="0" xfId="1009" applyFont="1" applyAlignment="1">
      <alignment/>
    </xf>
    <xf numFmtId="178" fontId="19" fillId="0" borderId="0" xfId="1009" applyNumberFormat="1" applyFont="1" applyAlignment="1">
      <alignment/>
    </xf>
    <xf numFmtId="173" fontId="2" fillId="73" borderId="29" xfId="1009" applyFont="1" applyFill="1" applyBorder="1" applyAlignment="1">
      <alignment horizontal="center" wrapText="1"/>
    </xf>
    <xf numFmtId="169" fontId="19" fillId="0" borderId="0" xfId="0" applyNumberFormat="1" applyFont="1" applyAlignment="1">
      <alignment/>
    </xf>
    <xf numFmtId="288" fontId="30" fillId="0" borderId="0" xfId="1009" applyNumberFormat="1" applyFont="1" applyAlignment="1">
      <alignment/>
    </xf>
    <xf numFmtId="173" fontId="15" fillId="0" borderId="0" xfId="1009" applyFont="1" applyFill="1" applyAlignment="1">
      <alignment/>
    </xf>
    <xf numFmtId="0" fontId="15" fillId="0" borderId="0" xfId="0" applyFont="1" applyFill="1" applyAlignment="1">
      <alignment/>
    </xf>
    <xf numFmtId="173" fontId="15" fillId="0" borderId="0" xfId="1009" applyFont="1" applyFill="1" applyAlignment="1">
      <alignment/>
    </xf>
    <xf numFmtId="0" fontId="15" fillId="0" borderId="0" xfId="0" applyFont="1" applyFill="1" applyAlignment="1">
      <alignment/>
    </xf>
    <xf numFmtId="0" fontId="28" fillId="0" borderId="28" xfId="0" applyFont="1" applyBorder="1" applyAlignment="1">
      <alignment wrapText="1"/>
    </xf>
    <xf numFmtId="0" fontId="28" fillId="0" borderId="28" xfId="0" applyFont="1" applyBorder="1" applyAlignment="1">
      <alignment horizontal="center" wrapText="1"/>
    </xf>
    <xf numFmtId="173" fontId="28" fillId="0" borderId="28" xfId="1009" applyFont="1" applyBorder="1" applyAlignment="1">
      <alignment horizontal="center" wrapText="1"/>
    </xf>
    <xf numFmtId="173" fontId="65" fillId="0" borderId="28" xfId="1009" applyFont="1" applyBorder="1" applyAlignment="1">
      <alignment horizontal="center" wrapText="1"/>
    </xf>
    <xf numFmtId="0" fontId="29" fillId="0" borderId="29" xfId="0" applyFont="1" applyBorder="1" applyAlignment="1">
      <alignment horizontal="center" wrapText="1"/>
    </xf>
    <xf numFmtId="0" fontId="29" fillId="0" borderId="29" xfId="0" applyFont="1" applyBorder="1" applyAlignment="1">
      <alignment wrapText="1"/>
    </xf>
    <xf numFmtId="0" fontId="15" fillId="0" borderId="29" xfId="0" applyFont="1" applyFill="1" applyBorder="1" applyAlignment="1">
      <alignment horizontal="center" wrapText="1"/>
    </xf>
    <xf numFmtId="0" fontId="15" fillId="0" borderId="29" xfId="0" applyFont="1" applyFill="1" applyBorder="1" applyAlignment="1">
      <alignment wrapText="1"/>
    </xf>
    <xf numFmtId="0" fontId="15" fillId="0" borderId="58" xfId="0" applyFont="1" applyFill="1" applyBorder="1" applyAlignment="1">
      <alignment horizontal="center" wrapText="1"/>
    </xf>
    <xf numFmtId="0" fontId="15" fillId="0" borderId="58" xfId="0" applyFont="1" applyFill="1" applyBorder="1" applyAlignment="1">
      <alignment wrapText="1"/>
    </xf>
    <xf numFmtId="173" fontId="15" fillId="0" borderId="29" xfId="1009" applyNumberFormat="1" applyFont="1" applyFill="1" applyBorder="1" applyAlignment="1">
      <alignment horizontal="center" wrapText="1"/>
    </xf>
    <xf numFmtId="173" fontId="55" fillId="0" borderId="29" xfId="1009" applyNumberFormat="1" applyFont="1" applyFill="1" applyBorder="1" applyAlignment="1">
      <alignment horizontal="center" wrapText="1"/>
    </xf>
    <xf numFmtId="173" fontId="55" fillId="0" borderId="29" xfId="1009" applyNumberFormat="1" applyFont="1" applyFill="1" applyBorder="1" applyAlignment="1">
      <alignment/>
    </xf>
    <xf numFmtId="173" fontId="2" fillId="0" borderId="29" xfId="1009" applyNumberFormat="1" applyFont="1" applyFill="1" applyBorder="1" applyAlignment="1">
      <alignment horizontal="center" wrapText="1"/>
    </xf>
    <xf numFmtId="173" fontId="15" fillId="0" borderId="58" xfId="1009" applyNumberFormat="1" applyFont="1" applyFill="1" applyBorder="1" applyAlignment="1">
      <alignment horizontal="center" wrapText="1"/>
    </xf>
    <xf numFmtId="173" fontId="55" fillId="0" borderId="58" xfId="1009" applyNumberFormat="1" applyFont="1" applyFill="1" applyBorder="1" applyAlignment="1">
      <alignment horizontal="center" wrapText="1"/>
    </xf>
    <xf numFmtId="173" fontId="55" fillId="0" borderId="58" xfId="1009" applyNumberFormat="1" applyFont="1" applyFill="1" applyBorder="1" applyAlignment="1">
      <alignment/>
    </xf>
    <xf numFmtId="173" fontId="27" fillId="0" borderId="29" xfId="1009" applyNumberFormat="1" applyFont="1" applyBorder="1" applyAlignment="1">
      <alignment horizontal="center" wrapText="1"/>
    </xf>
    <xf numFmtId="173" fontId="27" fillId="0" borderId="29" xfId="1009" applyNumberFormat="1" applyFont="1" applyBorder="1" applyAlignment="1">
      <alignment horizontal="center" wrapText="1"/>
    </xf>
    <xf numFmtId="173" fontId="19" fillId="0" borderId="29" xfId="1089" applyFont="1" applyBorder="1" applyAlignment="1">
      <alignment horizontal="right" wrapText="1"/>
    </xf>
    <xf numFmtId="10" fontId="2" fillId="0" borderId="29" xfId="1089" applyNumberFormat="1" applyFont="1" applyFill="1" applyBorder="1" applyAlignment="1">
      <alignment horizontal="right" wrapText="1"/>
    </xf>
    <xf numFmtId="0" fontId="2" fillId="0" borderId="29" xfId="0" applyFont="1" applyFill="1" applyBorder="1" applyAlignment="1">
      <alignment horizontal="center" wrapText="1"/>
    </xf>
    <xf numFmtId="0" fontId="2" fillId="0" borderId="29" xfId="0" applyFont="1" applyFill="1" applyBorder="1" applyAlignment="1">
      <alignment horizontal="left" wrapText="1"/>
    </xf>
    <xf numFmtId="173" fontId="2" fillId="0" borderId="29" xfId="1089" applyFont="1" applyFill="1" applyBorder="1" applyAlignment="1">
      <alignment horizontal="right" wrapText="1"/>
    </xf>
    <xf numFmtId="10" fontId="2" fillId="0" borderId="29" xfId="1089" applyNumberFormat="1" applyFont="1" applyFill="1" applyBorder="1" applyAlignment="1">
      <alignment horizontal="right" wrapText="1"/>
    </xf>
    <xf numFmtId="0" fontId="2" fillId="0" borderId="0" xfId="0" applyFont="1" applyFill="1" applyAlignment="1">
      <alignment horizontal="center" wrapText="1"/>
    </xf>
    <xf numFmtId="0" fontId="2" fillId="0" borderId="0" xfId="0" applyFont="1" applyFill="1" applyAlignment="1">
      <alignment/>
    </xf>
    <xf numFmtId="177" fontId="2" fillId="0" borderId="58" xfId="1089" applyNumberFormat="1" applyFont="1" applyBorder="1" applyAlignment="1">
      <alignment horizontal="right" wrapText="1"/>
    </xf>
    <xf numFmtId="10" fontId="2" fillId="0" borderId="58" xfId="1089" applyNumberFormat="1" applyFont="1" applyFill="1" applyBorder="1" applyAlignment="1">
      <alignment horizontal="right" wrapText="1"/>
    </xf>
    <xf numFmtId="173" fontId="13" fillId="0" borderId="29" xfId="1089" applyFont="1" applyBorder="1" applyAlignment="1">
      <alignment horizontal="center" wrapText="1"/>
    </xf>
    <xf numFmtId="173" fontId="13" fillId="0" borderId="29" xfId="1089" applyNumberFormat="1" applyFont="1" applyBorder="1" applyAlignment="1">
      <alignment horizontal="center" wrapText="1"/>
    </xf>
    <xf numFmtId="177" fontId="13" fillId="0" borderId="29" xfId="1089" applyNumberFormat="1" applyFont="1" applyFill="1" applyBorder="1" applyAlignment="1">
      <alignment horizontal="center" wrapText="1"/>
    </xf>
    <xf numFmtId="173" fontId="13" fillId="0" borderId="29" xfId="1089" applyFont="1" applyFill="1" applyBorder="1" applyAlignment="1">
      <alignment horizontal="center" wrapText="1"/>
    </xf>
    <xf numFmtId="173" fontId="13" fillId="0" borderId="29" xfId="1089" applyNumberFormat="1" applyFont="1" applyFill="1" applyBorder="1" applyAlignment="1">
      <alignment horizontal="center" wrapText="1"/>
    </xf>
    <xf numFmtId="173" fontId="1" fillId="0" borderId="29" xfId="1089" applyFont="1" applyBorder="1" applyAlignment="1">
      <alignment horizontal="center" wrapText="1"/>
    </xf>
    <xf numFmtId="177" fontId="1" fillId="0" borderId="0" xfId="1089" applyNumberFormat="1" applyFont="1" applyAlignment="1">
      <alignment/>
    </xf>
    <xf numFmtId="169" fontId="13" fillId="0" borderId="0" xfId="0" applyNumberFormat="1" applyFont="1" applyAlignment="1">
      <alignment/>
    </xf>
    <xf numFmtId="0" fontId="1" fillId="0" borderId="29" xfId="0" applyFont="1" applyFill="1" applyBorder="1" applyAlignment="1">
      <alignment horizontal="center" wrapText="1"/>
    </xf>
    <xf numFmtId="173" fontId="1" fillId="0" borderId="29" xfId="1089" applyFont="1" applyFill="1" applyBorder="1" applyAlignment="1">
      <alignment horizontal="center" wrapText="1"/>
    </xf>
    <xf numFmtId="173" fontId="1" fillId="0" borderId="29" xfId="1089" applyFont="1" applyFill="1" applyBorder="1" applyAlignment="1">
      <alignment horizontal="right" wrapText="1"/>
    </xf>
    <xf numFmtId="177" fontId="1" fillId="0" borderId="0" xfId="1089" applyNumberFormat="1" applyFont="1" applyFill="1" applyAlignment="1">
      <alignment/>
    </xf>
    <xf numFmtId="289" fontId="13" fillId="0" borderId="0" xfId="0" applyNumberFormat="1" applyFont="1" applyFill="1" applyAlignment="1">
      <alignment/>
    </xf>
    <xf numFmtId="0" fontId="13" fillId="0" borderId="0" xfId="0" applyFont="1" applyFill="1" applyAlignment="1">
      <alignment/>
    </xf>
    <xf numFmtId="177" fontId="1" fillId="0" borderId="0" xfId="0" applyNumberFormat="1" applyFont="1" applyFill="1" applyAlignment="1">
      <alignment/>
    </xf>
    <xf numFmtId="173" fontId="1" fillId="0" borderId="29" xfId="1089" applyNumberFormat="1" applyFont="1" applyFill="1" applyBorder="1" applyAlignment="1">
      <alignment horizontal="right" wrapText="1"/>
    </xf>
    <xf numFmtId="0" fontId="1" fillId="0" borderId="29" xfId="0" applyNumberFormat="1" applyFont="1" applyFill="1" applyBorder="1" applyAlignment="1">
      <alignment horizontal="center" wrapText="1"/>
    </xf>
    <xf numFmtId="0" fontId="1" fillId="0" borderId="29" xfId="0" applyNumberFormat="1" applyFont="1" applyFill="1" applyBorder="1" applyAlignment="1">
      <alignment wrapText="1"/>
    </xf>
    <xf numFmtId="173" fontId="1" fillId="0" borderId="58" xfId="1089" applyFont="1" applyBorder="1" applyAlignment="1">
      <alignment horizontal="center" wrapText="1"/>
    </xf>
    <xf numFmtId="173" fontId="1" fillId="0" borderId="58" xfId="1089" applyFont="1" applyFill="1" applyBorder="1" applyAlignment="1">
      <alignment horizontal="right" wrapText="1"/>
    </xf>
    <xf numFmtId="173" fontId="1" fillId="0" borderId="58" xfId="1089" applyFont="1" applyBorder="1" applyAlignment="1">
      <alignment horizontal="right" wrapText="1"/>
    </xf>
    <xf numFmtId="173" fontId="1" fillId="0" borderId="0" xfId="1089" applyFont="1" applyAlignment="1">
      <alignment/>
    </xf>
    <xf numFmtId="289" fontId="1" fillId="0" borderId="0" xfId="0" applyNumberFormat="1" applyFont="1" applyAlignment="1">
      <alignment/>
    </xf>
    <xf numFmtId="173" fontId="1" fillId="0" borderId="29" xfId="1089" applyNumberFormat="1" applyFont="1" applyFill="1" applyBorder="1" applyAlignment="1">
      <alignment horizontal="center" wrapText="1"/>
    </xf>
    <xf numFmtId="173" fontId="13" fillId="53" borderId="15" xfId="1089" applyFont="1" applyFill="1" applyBorder="1" applyAlignment="1">
      <alignment horizontal="right" wrapText="1"/>
    </xf>
    <xf numFmtId="173" fontId="13" fillId="53" borderId="29" xfId="1089" applyFont="1" applyFill="1" applyBorder="1" applyAlignment="1">
      <alignment horizontal="right" wrapText="1"/>
    </xf>
    <xf numFmtId="173" fontId="13" fillId="53" borderId="15" xfId="1089" applyNumberFormat="1" applyFont="1" applyFill="1" applyBorder="1" applyAlignment="1">
      <alignment horizontal="right" wrapText="1"/>
    </xf>
    <xf numFmtId="173" fontId="13" fillId="53" borderId="15" xfId="1089" applyFont="1" applyFill="1" applyBorder="1" applyAlignment="1">
      <alignment horizontal="right" wrapText="1"/>
    </xf>
    <xf numFmtId="173" fontId="1" fillId="53" borderId="15" xfId="1089" applyFont="1" applyFill="1" applyBorder="1" applyAlignment="1">
      <alignment horizontal="right" wrapText="1"/>
    </xf>
    <xf numFmtId="173" fontId="1" fillId="0" borderId="29" xfId="1089" applyFont="1" applyBorder="1" applyAlignment="1">
      <alignment horizontal="right" wrapText="1"/>
    </xf>
    <xf numFmtId="173" fontId="1" fillId="0" borderId="15" xfId="1089" applyFont="1" applyBorder="1" applyAlignment="1">
      <alignment horizontal="right" wrapText="1"/>
    </xf>
    <xf numFmtId="173" fontId="1" fillId="73" borderId="55" xfId="1089" applyFont="1" applyFill="1" applyBorder="1" applyAlignment="1">
      <alignment horizontal="right" wrapText="1"/>
    </xf>
    <xf numFmtId="173" fontId="1" fillId="53" borderId="55" xfId="1089" applyNumberFormat="1" applyFont="1" applyFill="1" applyBorder="1" applyAlignment="1">
      <alignment horizontal="right" wrapText="1"/>
    </xf>
    <xf numFmtId="173" fontId="1" fillId="73" borderId="15" xfId="1089" applyFont="1" applyFill="1" applyBorder="1" applyAlignment="1">
      <alignment horizontal="right" wrapText="1"/>
    </xf>
    <xf numFmtId="173" fontId="1" fillId="53" borderId="29" xfId="1089" applyFont="1" applyFill="1" applyBorder="1" applyAlignment="1">
      <alignment horizontal="right" wrapText="1"/>
    </xf>
    <xf numFmtId="173" fontId="1" fillId="73" borderId="29" xfId="1089" applyFont="1" applyFill="1" applyBorder="1" applyAlignment="1">
      <alignment horizontal="right" wrapText="1"/>
    </xf>
    <xf numFmtId="173" fontId="1" fillId="53" borderId="58" xfId="1089" applyFont="1" applyFill="1" applyBorder="1" applyAlignment="1">
      <alignment horizontal="right" wrapText="1"/>
    </xf>
    <xf numFmtId="173" fontId="1" fillId="0" borderId="58" xfId="1089" applyFont="1" applyBorder="1" applyAlignment="1">
      <alignment horizontal="right" wrapText="1"/>
    </xf>
    <xf numFmtId="173" fontId="1" fillId="73" borderId="58" xfId="1089" applyFont="1" applyFill="1" applyBorder="1" applyAlignment="1">
      <alignment horizontal="right" wrapText="1"/>
    </xf>
    <xf numFmtId="173" fontId="1" fillId="73" borderId="10" xfId="1089" applyFont="1" applyFill="1" applyBorder="1" applyAlignment="1">
      <alignment horizontal="right" wrapText="1"/>
    </xf>
    <xf numFmtId="173" fontId="13" fillId="0" borderId="29" xfId="1089" applyFont="1" applyBorder="1" applyAlignment="1">
      <alignment horizontal="center" wrapText="1"/>
    </xf>
    <xf numFmtId="4" fontId="13" fillId="0" borderId="29" xfId="1089" applyNumberFormat="1" applyFont="1" applyBorder="1" applyAlignment="1">
      <alignment horizontal="center" wrapText="1"/>
    </xf>
    <xf numFmtId="4" fontId="3" fillId="0" borderId="29" xfId="1089" applyNumberFormat="1" applyFont="1" applyBorder="1" applyAlignment="1">
      <alignment horizontal="center" wrapText="1"/>
    </xf>
    <xf numFmtId="173" fontId="14" fillId="73" borderId="29" xfId="1089" applyFont="1" applyFill="1" applyBorder="1" applyAlignment="1">
      <alignment horizontal="center" wrapText="1"/>
    </xf>
    <xf numFmtId="173" fontId="14" fillId="0" borderId="29" xfId="1089" applyFont="1" applyBorder="1" applyAlignment="1">
      <alignment horizontal="center" wrapText="1"/>
    </xf>
    <xf numFmtId="173" fontId="1" fillId="0" borderId="29" xfId="1089" applyFont="1" applyBorder="1" applyAlignment="1">
      <alignment horizontal="center" wrapText="1"/>
    </xf>
    <xf numFmtId="4" fontId="1" fillId="0" borderId="29" xfId="1089" applyNumberFormat="1" applyFont="1" applyBorder="1" applyAlignment="1">
      <alignment horizontal="center" wrapText="1"/>
    </xf>
    <xf numFmtId="4" fontId="5" fillId="0" borderId="29" xfId="1089" applyNumberFormat="1" applyFont="1" applyBorder="1" applyAlignment="1">
      <alignment horizontal="center" wrapText="1"/>
    </xf>
    <xf numFmtId="169" fontId="1" fillId="0" borderId="0" xfId="0" applyNumberFormat="1" applyFont="1" applyAlignment="1">
      <alignment/>
    </xf>
    <xf numFmtId="173" fontId="14" fillId="73" borderId="58" xfId="1089" applyFont="1" applyFill="1" applyBorder="1" applyAlignment="1">
      <alignment horizontal="center" wrapText="1"/>
    </xf>
    <xf numFmtId="173" fontId="14" fillId="0" borderId="58" xfId="1089" applyFont="1" applyBorder="1" applyAlignment="1">
      <alignment horizontal="center" wrapText="1"/>
    </xf>
    <xf numFmtId="173" fontId="1" fillId="0" borderId="58" xfId="1089" applyFont="1" applyBorder="1" applyAlignment="1">
      <alignment horizontal="center" wrapText="1"/>
    </xf>
    <xf numFmtId="4" fontId="1" fillId="0" borderId="58" xfId="1089" applyNumberFormat="1" applyFont="1" applyBorder="1" applyAlignment="1">
      <alignment horizontal="center" wrapText="1"/>
    </xf>
    <xf numFmtId="4" fontId="5" fillId="0" borderId="58" xfId="1089" applyNumberFormat="1" applyFont="1" applyBorder="1" applyAlignment="1">
      <alignment horizontal="center" wrapText="1"/>
    </xf>
    <xf numFmtId="177" fontId="3" fillId="0" borderId="28" xfId="1089" applyNumberFormat="1" applyFont="1" applyBorder="1" applyAlignment="1">
      <alignment wrapText="1"/>
    </xf>
    <xf numFmtId="177" fontId="3" fillId="0" borderId="42" xfId="1089" applyNumberFormat="1" applyFont="1" applyBorder="1" applyAlignment="1">
      <alignment wrapText="1"/>
    </xf>
    <xf numFmtId="173" fontId="3" fillId="0" borderId="42" xfId="1089" applyFont="1" applyBorder="1" applyAlignment="1">
      <alignment wrapText="1"/>
    </xf>
    <xf numFmtId="173" fontId="1" fillId="0" borderId="0" xfId="1089" applyFont="1" applyAlignment="1">
      <alignment/>
    </xf>
    <xf numFmtId="177" fontId="5" fillId="0" borderId="29" xfId="1089" applyNumberFormat="1" applyFont="1" applyFill="1" applyBorder="1" applyAlignment="1">
      <alignment wrapText="1"/>
    </xf>
    <xf numFmtId="177" fontId="1" fillId="0" borderId="29" xfId="1089" applyNumberFormat="1" applyFont="1" applyFill="1" applyBorder="1" applyAlignment="1">
      <alignment/>
    </xf>
    <xf numFmtId="177" fontId="5" fillId="0" borderId="29" xfId="1089" applyNumberFormat="1" applyFont="1" applyBorder="1" applyAlignment="1">
      <alignment wrapText="1"/>
    </xf>
    <xf numFmtId="177" fontId="1" fillId="0" borderId="29" xfId="1089" applyNumberFormat="1" applyFont="1" applyFill="1" applyBorder="1" applyAlignment="1">
      <alignment horizontal="center"/>
    </xf>
    <xf numFmtId="177" fontId="1" fillId="0" borderId="29" xfId="1089" applyNumberFormat="1" applyFont="1" applyBorder="1" applyAlignment="1">
      <alignment/>
    </xf>
    <xf numFmtId="173" fontId="5" fillId="0" borderId="29" xfId="1089" applyFont="1" applyBorder="1" applyAlignment="1">
      <alignment wrapText="1"/>
    </xf>
    <xf numFmtId="0" fontId="266" fillId="0" borderId="28" xfId="0" applyFont="1" applyBorder="1" applyAlignment="1">
      <alignment horizontal="center" wrapText="1"/>
    </xf>
    <xf numFmtId="0" fontId="266" fillId="0" borderId="28" xfId="0" applyFont="1" applyBorder="1" applyAlignment="1">
      <alignment wrapText="1"/>
    </xf>
    <xf numFmtId="177" fontId="266" fillId="0" borderId="28" xfId="1089" applyNumberFormat="1" applyFont="1" applyBorder="1" applyAlignment="1">
      <alignment horizontal="center" wrapText="1"/>
    </xf>
    <xf numFmtId="177" fontId="267" fillId="0" borderId="0" xfId="0" applyNumberFormat="1" applyFont="1" applyAlignment="1">
      <alignment/>
    </xf>
    <xf numFmtId="0" fontId="267" fillId="0" borderId="0" xfId="0" applyFont="1" applyAlignment="1">
      <alignment/>
    </xf>
    <xf numFmtId="0" fontId="9" fillId="0" borderId="29" xfId="0" applyFont="1" applyFill="1" applyBorder="1" applyAlignment="1">
      <alignment horizontal="center" wrapText="1"/>
    </xf>
    <xf numFmtId="0" fontId="9" fillId="0" borderId="29" xfId="0" applyFont="1" applyFill="1" applyBorder="1" applyAlignment="1">
      <alignment wrapText="1"/>
    </xf>
    <xf numFmtId="177" fontId="2" fillId="0" borderId="29" xfId="1089" applyNumberFormat="1" applyFont="1" applyFill="1" applyBorder="1" applyAlignment="1">
      <alignment horizontal="center"/>
    </xf>
    <xf numFmtId="177" fontId="9" fillId="0" borderId="29" xfId="1089" applyNumberFormat="1" applyFont="1" applyFill="1" applyBorder="1" applyAlignment="1">
      <alignment horizontal="center" wrapText="1"/>
    </xf>
    <xf numFmtId="177" fontId="9" fillId="0" borderId="29" xfId="1089" applyNumberFormat="1" applyFont="1" applyFill="1" applyBorder="1" applyAlignment="1">
      <alignment horizontal="center" vertical="top" wrapText="1"/>
    </xf>
    <xf numFmtId="177" fontId="2" fillId="0" borderId="29" xfId="1089" applyNumberFormat="1" applyFont="1" applyFill="1" applyBorder="1" applyAlignment="1">
      <alignment/>
    </xf>
    <xf numFmtId="177" fontId="2" fillId="0" borderId="0" xfId="0" applyNumberFormat="1" applyFont="1" applyFill="1" applyAlignment="1">
      <alignment/>
    </xf>
    <xf numFmtId="189" fontId="2" fillId="0" borderId="0" xfId="0" applyNumberFormat="1" applyFont="1" applyFill="1" applyAlignment="1">
      <alignment/>
    </xf>
    <xf numFmtId="0" fontId="9" fillId="0" borderId="58" xfId="0" applyFont="1" applyFill="1" applyBorder="1" applyAlignment="1">
      <alignment horizontal="center" wrapText="1"/>
    </xf>
    <xf numFmtId="0" fontId="9" fillId="0" borderId="58" xfId="0" applyFont="1" applyFill="1" applyBorder="1" applyAlignment="1">
      <alignment wrapText="1"/>
    </xf>
    <xf numFmtId="177" fontId="2" fillId="0" borderId="58" xfId="1089" applyNumberFormat="1" applyFont="1" applyFill="1" applyBorder="1" applyAlignment="1">
      <alignment horizontal="center"/>
    </xf>
    <xf numFmtId="177" fontId="9" fillId="0" borderId="58" xfId="1089" applyNumberFormat="1" applyFont="1" applyFill="1" applyBorder="1" applyAlignment="1">
      <alignment horizontal="center" wrapText="1"/>
    </xf>
    <xf numFmtId="177" fontId="9" fillId="0" borderId="58" xfId="1089" applyNumberFormat="1" applyFont="1" applyFill="1" applyBorder="1" applyAlignment="1">
      <alignment horizontal="center" vertical="top" wrapText="1"/>
    </xf>
    <xf numFmtId="177" fontId="2" fillId="0" borderId="58" xfId="1089" applyNumberFormat="1" applyFont="1" applyFill="1" applyBorder="1" applyAlignment="1">
      <alignment/>
    </xf>
    <xf numFmtId="0" fontId="54" fillId="0" borderId="29" xfId="0" applyFont="1" applyFill="1" applyBorder="1" applyAlignment="1">
      <alignment horizontal="center"/>
    </xf>
    <xf numFmtId="0" fontId="54" fillId="0" borderId="29" xfId="0" applyFont="1" applyFill="1" applyBorder="1" applyAlignment="1">
      <alignment/>
    </xf>
    <xf numFmtId="0" fontId="54" fillId="0" borderId="29" xfId="0" applyFont="1" applyFill="1" applyBorder="1" applyAlignment="1">
      <alignment horizontal="center" wrapText="1"/>
    </xf>
    <xf numFmtId="4" fontId="54" fillId="0" borderId="29" xfId="0" applyNumberFormat="1" applyFont="1" applyFill="1" applyBorder="1" applyAlignment="1">
      <alignment/>
    </xf>
    <xf numFmtId="0" fontId="54" fillId="0" borderId="29" xfId="0" applyFont="1" applyFill="1" applyBorder="1" applyAlignment="1">
      <alignment horizontal="center" vertical="center"/>
    </xf>
    <xf numFmtId="4" fontId="54" fillId="0" borderId="29" xfId="0" applyNumberFormat="1" applyFont="1" applyFill="1" applyBorder="1" applyAlignment="1">
      <alignment vertical="center"/>
    </xf>
    <xf numFmtId="0" fontId="56" fillId="0" borderId="29" xfId="0" applyFont="1" applyFill="1" applyBorder="1" applyAlignment="1">
      <alignment horizontal="center"/>
    </xf>
    <xf numFmtId="0" fontId="56" fillId="0" borderId="29" xfId="0" applyFont="1" applyFill="1" applyBorder="1" applyAlignment="1">
      <alignment/>
    </xf>
    <xf numFmtId="0" fontId="56" fillId="0" borderId="29" xfId="0" applyFont="1" applyFill="1" applyBorder="1" applyAlignment="1">
      <alignment horizontal="center" wrapText="1"/>
    </xf>
    <xf numFmtId="4" fontId="56" fillId="0" borderId="29" xfId="0" applyNumberFormat="1" applyFont="1" applyFill="1" applyBorder="1" applyAlignment="1">
      <alignment/>
    </xf>
    <xf numFmtId="0" fontId="54" fillId="0" borderId="29" xfId="0" applyFont="1" applyFill="1" applyBorder="1" applyAlignment="1">
      <alignment vertical="center" wrapText="1"/>
    </xf>
    <xf numFmtId="0" fontId="54" fillId="0" borderId="29" xfId="0" applyFont="1" applyFill="1" applyBorder="1" applyAlignment="1">
      <alignment horizontal="center" vertical="center" wrapText="1"/>
    </xf>
    <xf numFmtId="0" fontId="54" fillId="0" borderId="29" xfId="0" applyFont="1" applyFill="1" applyBorder="1" applyAlignment="1">
      <alignment horizontal="justify" vertical="center" wrapText="1"/>
    </xf>
    <xf numFmtId="0" fontId="54" fillId="0" borderId="29" xfId="0" applyFont="1" applyFill="1" applyBorder="1" applyAlignment="1">
      <alignment wrapText="1"/>
    </xf>
    <xf numFmtId="0" fontId="54" fillId="0" borderId="29" xfId="0" applyFont="1" applyFill="1" applyBorder="1" applyAlignment="1">
      <alignment vertical="center"/>
    </xf>
    <xf numFmtId="0" fontId="3" fillId="0" borderId="10" xfId="0" applyFont="1" applyFill="1" applyBorder="1" applyAlignment="1">
      <alignment horizontal="center" vertical="center" wrapText="1"/>
    </xf>
    <xf numFmtId="0" fontId="4" fillId="0" borderId="1" xfId="0" applyFont="1" applyFill="1" applyBorder="1" applyAlignment="1">
      <alignment horizontal="center" wrapText="1"/>
    </xf>
    <xf numFmtId="0" fontId="268" fillId="0" borderId="15" xfId="0" applyFont="1" applyFill="1" applyBorder="1" applyAlignment="1">
      <alignment horizontal="center" wrapText="1"/>
    </xf>
    <xf numFmtId="0" fontId="268" fillId="0" borderId="15" xfId="0" applyFont="1" applyFill="1" applyBorder="1" applyAlignment="1">
      <alignment wrapText="1"/>
    </xf>
    <xf numFmtId="188" fontId="268" fillId="0" borderId="15" xfId="1023" applyNumberFormat="1" applyFont="1" applyFill="1" applyBorder="1" applyAlignment="1">
      <alignment wrapText="1"/>
    </xf>
    <xf numFmtId="188" fontId="268" fillId="0" borderId="29" xfId="1023" applyNumberFormat="1" applyFont="1" applyFill="1" applyBorder="1" applyAlignment="1">
      <alignment wrapText="1"/>
    </xf>
    <xf numFmtId="4" fontId="268" fillId="0" borderId="15" xfId="1023" applyNumberFormat="1" applyFont="1" applyFill="1" applyBorder="1" applyAlignment="1">
      <alignment wrapText="1"/>
    </xf>
    <xf numFmtId="0" fontId="268" fillId="0" borderId="0" xfId="0" applyFont="1" applyFill="1" applyAlignment="1">
      <alignment/>
    </xf>
    <xf numFmtId="0" fontId="268" fillId="0" borderId="29" xfId="0" applyFont="1" applyFill="1" applyBorder="1" applyAlignment="1">
      <alignment wrapText="1"/>
    </xf>
    <xf numFmtId="0" fontId="269" fillId="0" borderId="0" xfId="0" applyFont="1" applyFill="1" applyAlignment="1">
      <alignment/>
    </xf>
    <xf numFmtId="0" fontId="1" fillId="73" borderId="15" xfId="0" applyFont="1" applyFill="1" applyBorder="1" applyAlignment="1">
      <alignment horizontal="center" wrapText="1"/>
    </xf>
    <xf numFmtId="0" fontId="1" fillId="73" borderId="29" xfId="0" applyFont="1" applyFill="1" applyBorder="1" applyAlignment="1">
      <alignment wrapText="1"/>
    </xf>
    <xf numFmtId="188" fontId="1" fillId="73" borderId="29" xfId="1023" applyNumberFormat="1" applyFont="1" applyFill="1" applyBorder="1" applyAlignment="1">
      <alignment wrapText="1"/>
    </xf>
    <xf numFmtId="188" fontId="1" fillId="73" borderId="15" xfId="1023" applyNumberFormat="1" applyFont="1" applyFill="1" applyBorder="1" applyAlignment="1">
      <alignment wrapText="1"/>
    </xf>
    <xf numFmtId="4" fontId="1" fillId="73" borderId="15" xfId="1023" applyNumberFormat="1" applyFont="1" applyFill="1" applyBorder="1" applyAlignment="1">
      <alignment wrapText="1"/>
    </xf>
    <xf numFmtId="0" fontId="1" fillId="73" borderId="0" xfId="0" applyFont="1" applyFill="1" applyAlignment="1">
      <alignment/>
    </xf>
    <xf numFmtId="0" fontId="270" fillId="0" borderId="0" xfId="0" applyFont="1" applyFill="1" applyAlignment="1">
      <alignment/>
    </xf>
    <xf numFmtId="188" fontId="270" fillId="0" borderId="15" xfId="1023" applyNumberFormat="1" applyFont="1" applyFill="1" applyBorder="1" applyAlignment="1">
      <alignment wrapText="1"/>
    </xf>
    <xf numFmtId="0" fontId="268" fillId="0" borderId="55" xfId="0" applyFont="1" applyFill="1" applyBorder="1" applyAlignment="1">
      <alignment wrapText="1"/>
    </xf>
    <xf numFmtId="188" fontId="268" fillId="0" borderId="55" xfId="1023" applyNumberFormat="1" applyFont="1" applyFill="1" applyBorder="1" applyAlignment="1">
      <alignment wrapText="1"/>
    </xf>
    <xf numFmtId="188" fontId="268" fillId="0" borderId="53" xfId="1023" applyNumberFormat="1" applyFont="1" applyFill="1" applyBorder="1" applyAlignment="1">
      <alignment wrapText="1"/>
    </xf>
    <xf numFmtId="4" fontId="268" fillId="0" borderId="53" xfId="1023" applyNumberFormat="1" applyFont="1" applyFill="1" applyBorder="1" applyAlignment="1">
      <alignment wrapText="1"/>
    </xf>
    <xf numFmtId="188" fontId="13" fillId="0" borderId="1" xfId="1023" applyNumberFormat="1" applyFont="1" applyFill="1" applyBorder="1" applyAlignment="1">
      <alignment wrapText="1"/>
    </xf>
    <xf numFmtId="4" fontId="13" fillId="0" borderId="1" xfId="1023" applyNumberFormat="1" applyFont="1" applyFill="1" applyBorder="1" applyAlignment="1">
      <alignment wrapText="1"/>
    </xf>
    <xf numFmtId="0" fontId="19" fillId="0" borderId="1" xfId="0" applyFont="1" applyFill="1" applyBorder="1" applyAlignment="1">
      <alignment horizontal="center" wrapText="1"/>
    </xf>
    <xf numFmtId="4" fontId="19" fillId="0" borderId="1" xfId="0" applyNumberFormat="1" applyFont="1" applyFill="1" applyBorder="1" applyAlignment="1">
      <alignment horizontal="right" wrapText="1"/>
    </xf>
    <xf numFmtId="10" fontId="12" fillId="0" borderId="1" xfId="1606" applyNumberFormat="1" applyFont="1" applyFill="1" applyBorder="1" applyAlignment="1">
      <alignment wrapText="1"/>
      <protection/>
    </xf>
    <xf numFmtId="0" fontId="19" fillId="0" borderId="1" xfId="1606" applyFont="1" applyFill="1" applyBorder="1" applyAlignment="1">
      <alignment horizontal="center" wrapText="1"/>
      <protection/>
    </xf>
    <xf numFmtId="0" fontId="19" fillId="0" borderId="1" xfId="1606" applyFont="1" applyFill="1" applyBorder="1" applyAlignment="1">
      <alignment wrapText="1"/>
      <protection/>
    </xf>
    <xf numFmtId="4" fontId="19" fillId="0" borderId="1" xfId="1606" applyNumberFormat="1" applyFont="1" applyFill="1" applyBorder="1" applyAlignment="1">
      <alignment wrapText="1"/>
      <protection/>
    </xf>
    <xf numFmtId="0" fontId="12" fillId="53" borderId="1" xfId="0" applyFont="1" applyFill="1" applyBorder="1" applyAlignment="1">
      <alignment horizontal="center"/>
    </xf>
    <xf numFmtId="0" fontId="19" fillId="53" borderId="1" xfId="0" applyFont="1" applyFill="1" applyBorder="1" applyAlignment="1">
      <alignment horizontal="left" wrapText="1"/>
    </xf>
    <xf numFmtId="4" fontId="19" fillId="53" borderId="1" xfId="0" applyNumberFormat="1" applyFont="1" applyFill="1" applyBorder="1" applyAlignment="1">
      <alignment horizontal="right"/>
    </xf>
    <xf numFmtId="0" fontId="11" fillId="53" borderId="1" xfId="0" applyFont="1" applyFill="1" applyBorder="1" applyAlignment="1">
      <alignment horizontal="center"/>
    </xf>
    <xf numFmtId="0" fontId="2" fillId="0" borderId="1" xfId="0" applyNumberFormat="1" applyFont="1" applyFill="1" applyBorder="1" applyAlignment="1">
      <alignment/>
    </xf>
    <xf numFmtId="4" fontId="2" fillId="0" borderId="1" xfId="1606" applyNumberFormat="1" applyFont="1" applyFill="1" applyBorder="1" applyAlignment="1">
      <alignment horizontal="right"/>
      <protection/>
    </xf>
    <xf numFmtId="4" fontId="2" fillId="53" borderId="1" xfId="0" applyNumberFormat="1" applyFont="1" applyFill="1" applyBorder="1" applyAlignment="1">
      <alignment horizontal="right"/>
    </xf>
    <xf numFmtId="10" fontId="11" fillId="0" borderId="1" xfId="1606" applyNumberFormat="1" applyFont="1" applyFill="1" applyBorder="1" applyAlignment="1">
      <alignment wrapText="1"/>
      <protection/>
    </xf>
    <xf numFmtId="4" fontId="2" fillId="73" borderId="1" xfId="1089" applyNumberFormat="1" applyFont="1" applyFill="1" applyBorder="1" applyAlignment="1">
      <alignment horizontal="right" wrapText="1"/>
    </xf>
    <xf numFmtId="0" fontId="2" fillId="0" borderId="1" xfId="0" applyNumberFormat="1" applyFont="1" applyFill="1" applyBorder="1" applyAlignment="1">
      <alignment/>
    </xf>
    <xf numFmtId="0" fontId="19" fillId="53" borderId="1" xfId="0" applyNumberFormat="1" applyFont="1" applyFill="1" applyBorder="1" applyAlignment="1">
      <alignment/>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left" wrapText="1"/>
    </xf>
    <xf numFmtId="0" fontId="12" fillId="0" borderId="1" xfId="0" applyFont="1" applyBorder="1" applyAlignment="1">
      <alignment horizontal="center" wrapText="1"/>
    </xf>
    <xf numFmtId="0" fontId="12" fillId="0" borderId="1" xfId="0" applyFont="1" applyBorder="1" applyAlignment="1">
      <alignment wrapText="1"/>
    </xf>
    <xf numFmtId="4" fontId="12" fillId="0" borderId="1" xfId="0" applyNumberFormat="1" applyFont="1" applyBorder="1" applyAlignment="1">
      <alignment wrapText="1"/>
    </xf>
    <xf numFmtId="4" fontId="19" fillId="73" borderId="1" xfId="1089" applyNumberFormat="1" applyFont="1" applyFill="1" applyBorder="1" applyAlignment="1">
      <alignment horizontal="right" wrapText="1"/>
    </xf>
    <xf numFmtId="10" fontId="12" fillId="0" borderId="1" xfId="0" applyNumberFormat="1" applyFont="1" applyBorder="1" applyAlignment="1">
      <alignment wrapText="1"/>
    </xf>
    <xf numFmtId="0" fontId="11" fillId="0" borderId="1" xfId="0" applyFont="1" applyBorder="1" applyAlignment="1">
      <alignment horizontal="center" wrapText="1"/>
    </xf>
    <xf numFmtId="0" fontId="26" fillId="0" borderId="1" xfId="0" applyFont="1" applyBorder="1" applyAlignment="1">
      <alignment wrapText="1"/>
    </xf>
    <xf numFmtId="4" fontId="11" fillId="0" borderId="1" xfId="0" applyNumberFormat="1" applyFont="1" applyBorder="1" applyAlignment="1">
      <alignment wrapText="1"/>
    </xf>
    <xf numFmtId="10" fontId="11" fillId="0" borderId="1" xfId="0" applyNumberFormat="1" applyFont="1" applyBorder="1" applyAlignment="1">
      <alignment wrapText="1"/>
    </xf>
    <xf numFmtId="0" fontId="19" fillId="0" borderId="1" xfId="1606" applyFont="1" applyFill="1" applyBorder="1" applyAlignment="1">
      <alignment horizontal="center"/>
      <protection/>
    </xf>
    <xf numFmtId="0" fontId="7" fillId="73" borderId="1" xfId="0" applyFont="1" applyFill="1" applyBorder="1" applyAlignment="1">
      <alignment wrapText="1"/>
    </xf>
    <xf numFmtId="4" fontId="115" fillId="0" borderId="1" xfId="1606" applyNumberFormat="1" applyFont="1" applyFill="1" applyBorder="1">
      <alignment/>
      <protection/>
    </xf>
    <xf numFmtId="173" fontId="19" fillId="0" borderId="1" xfId="1089" applyFont="1" applyBorder="1" applyAlignment="1">
      <alignment horizontal="right" wrapText="1"/>
    </xf>
    <xf numFmtId="10" fontId="12" fillId="0" borderId="1" xfId="0" applyNumberFormat="1" applyFont="1" applyBorder="1" applyAlignment="1">
      <alignment wrapText="1"/>
    </xf>
    <xf numFmtId="37" fontId="12" fillId="0" borderId="29" xfId="1607" applyNumberFormat="1" applyFont="1" applyFill="1" applyBorder="1">
      <alignment/>
      <protection/>
    </xf>
    <xf numFmtId="0" fontId="11" fillId="0" borderId="1" xfId="0" applyFont="1" applyFill="1" applyBorder="1" applyAlignment="1">
      <alignment/>
    </xf>
    <xf numFmtId="3" fontId="17" fillId="0" borderId="29" xfId="1607" applyNumberFormat="1" applyFont="1" applyFill="1" applyBorder="1" applyAlignment="1">
      <alignment horizontal="left" indent="1"/>
      <protection/>
    </xf>
    <xf numFmtId="4" fontId="17" fillId="0" borderId="29" xfId="0" applyNumberFormat="1" applyFont="1" applyFill="1" applyBorder="1" applyAlignment="1">
      <alignment horizontal="right" wrapText="1"/>
    </xf>
    <xf numFmtId="37" fontId="26" fillId="0" borderId="29" xfId="1607" applyNumberFormat="1" applyFont="1" applyFill="1" applyBorder="1" applyAlignment="1">
      <alignment horizontal="center"/>
      <protection/>
    </xf>
    <xf numFmtId="37" fontId="26" fillId="0" borderId="29" xfId="1607" applyNumberFormat="1" applyFont="1" applyFill="1" applyBorder="1" applyAlignment="1">
      <alignment horizontal="left" indent="1"/>
      <protection/>
    </xf>
    <xf numFmtId="3" fontId="17" fillId="0" borderId="29" xfId="0" applyNumberFormat="1" applyFont="1" applyFill="1" applyBorder="1" applyAlignment="1">
      <alignment horizontal="center" wrapText="1"/>
    </xf>
    <xf numFmtId="10" fontId="17" fillId="0" borderId="29" xfId="0" applyNumberFormat="1" applyFont="1" applyFill="1" applyBorder="1" applyAlignment="1">
      <alignment horizontal="center" wrapText="1"/>
    </xf>
    <xf numFmtId="10" fontId="18" fillId="0" borderId="29" xfId="0" applyNumberFormat="1" applyFont="1" applyFill="1" applyBorder="1" applyAlignment="1">
      <alignment horizontal="center" wrapText="1"/>
    </xf>
    <xf numFmtId="4" fontId="7" fillId="0" borderId="29" xfId="0" applyNumberFormat="1" applyFont="1" applyBorder="1" applyAlignment="1">
      <alignment horizontal="center" wrapText="1"/>
    </xf>
    <xf numFmtId="173" fontId="30" fillId="0" borderId="29" xfId="1009" applyNumberFormat="1" applyFont="1" applyFill="1" applyBorder="1" applyAlignment="1">
      <alignment horizontal="center" wrapText="1"/>
    </xf>
    <xf numFmtId="173" fontId="29" fillId="0" borderId="29" xfId="1009" applyNumberFormat="1" applyFont="1" applyBorder="1" applyAlignment="1">
      <alignment horizontal="center" wrapText="1"/>
    </xf>
    <xf numFmtId="173" fontId="30" fillId="0" borderId="29" xfId="1009" applyNumberFormat="1" applyFont="1" applyFill="1" applyBorder="1" applyAlignment="1">
      <alignment/>
    </xf>
    <xf numFmtId="173" fontId="15" fillId="0" borderId="58" xfId="1009" applyFont="1" applyBorder="1" applyAlignment="1">
      <alignment horizontal="center" wrapText="1"/>
    </xf>
    <xf numFmtId="173" fontId="1" fillId="53" borderId="58" xfId="1089" applyNumberFormat="1" applyFont="1" applyFill="1" applyBorder="1" applyAlignment="1">
      <alignment horizontal="right" wrapText="1"/>
    </xf>
    <xf numFmtId="173" fontId="1" fillId="0" borderId="10" xfId="1009" applyFont="1" applyBorder="1" applyAlignment="1">
      <alignment horizontal="right" wrapText="1"/>
    </xf>
    <xf numFmtId="0" fontId="1" fillId="0" borderId="0" xfId="0" applyFont="1" applyAlignment="1">
      <alignment horizontal="center"/>
    </xf>
    <xf numFmtId="4" fontId="19" fillId="0" borderId="0" xfId="0" applyNumberFormat="1" applyFont="1" applyFill="1" applyAlignment="1">
      <alignment horizontal="center"/>
    </xf>
    <xf numFmtId="0" fontId="19" fillId="0" borderId="0" xfId="0" applyFont="1" applyFill="1" applyAlignment="1">
      <alignment horizontal="center"/>
    </xf>
    <xf numFmtId="0" fontId="17" fillId="0" borderId="0" xfId="0" applyFont="1" applyFill="1" applyAlignment="1">
      <alignment horizontal="center"/>
    </xf>
    <xf numFmtId="0" fontId="19" fillId="0" borderId="61" xfId="0" applyFont="1" applyFill="1" applyBorder="1" applyAlignment="1">
      <alignment horizontal="center" vertical="center" wrapText="1"/>
    </xf>
    <xf numFmtId="0" fontId="19" fillId="0" borderId="57" xfId="0" applyFont="1" applyFill="1" applyBorder="1" applyAlignment="1">
      <alignment horizontal="center" vertical="center" wrapText="1"/>
    </xf>
    <xf numFmtId="4" fontId="19" fillId="0" borderId="61" xfId="0" applyNumberFormat="1" applyFont="1" applyFill="1" applyBorder="1" applyAlignment="1">
      <alignment horizontal="center" vertical="center" wrapText="1"/>
    </xf>
    <xf numFmtId="4" fontId="19" fillId="0" borderId="57"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19" fillId="0" borderId="0" xfId="0" applyFont="1" applyFill="1" applyAlignment="1">
      <alignment horizontal="center" wrapText="1"/>
    </xf>
    <xf numFmtId="0" fontId="19" fillId="0" borderId="0" xfId="0" applyFont="1" applyFill="1" applyAlignment="1">
      <alignment horizontal="center"/>
    </xf>
    <xf numFmtId="0" fontId="19" fillId="0" borderId="0" xfId="0" applyFont="1" applyFill="1" applyAlignment="1">
      <alignment horizontal="center" wrapText="1"/>
    </xf>
    <xf numFmtId="0" fontId="19" fillId="0" borderId="62" xfId="0" applyFont="1" applyFill="1" applyBorder="1" applyAlignment="1">
      <alignment horizontal="center" vertical="center" wrapText="1"/>
    </xf>
    <xf numFmtId="0" fontId="19" fillId="0" borderId="63" xfId="0"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51" fillId="0" borderId="1"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xf>
    <xf numFmtId="3" fontId="12" fillId="0" borderId="1" xfId="0" applyNumberFormat="1" applyFont="1" applyBorder="1" applyAlignment="1">
      <alignment horizontal="center" vertical="center" wrapText="1"/>
    </xf>
    <xf numFmtId="0" fontId="19" fillId="0" borderId="0" xfId="0" applyFont="1" applyAlignment="1">
      <alignment horizontal="center"/>
    </xf>
    <xf numFmtId="0" fontId="12" fillId="0" borderId="1" xfId="0" applyFont="1" applyBorder="1" applyAlignment="1">
      <alignment horizontal="center" vertical="center" wrapText="1"/>
    </xf>
    <xf numFmtId="0" fontId="19" fillId="0" borderId="0" xfId="0" applyFont="1" applyAlignment="1">
      <alignment horizontal="center" wrapText="1"/>
    </xf>
    <xf numFmtId="0" fontId="17" fillId="0" borderId="0" xfId="0" applyFont="1" applyAlignment="1">
      <alignment horizontal="center"/>
    </xf>
    <xf numFmtId="0" fontId="33" fillId="0" borderId="0" xfId="0" applyFont="1" applyAlignment="1">
      <alignment horizontal="center"/>
    </xf>
    <xf numFmtId="0" fontId="15" fillId="0" borderId="0" xfId="0" applyFont="1" applyAlignment="1">
      <alignment horizontal="center"/>
    </xf>
    <xf numFmtId="0" fontId="27" fillId="0" borderId="1" xfId="0" applyFont="1" applyBorder="1" applyAlignment="1">
      <alignment horizontal="center" vertical="center" wrapText="1"/>
    </xf>
    <xf numFmtId="0" fontId="27" fillId="0" borderId="0" xfId="0" applyFont="1" applyAlignment="1">
      <alignment horizontal="center"/>
    </xf>
    <xf numFmtId="0" fontId="32" fillId="0" borderId="0" xfId="0" applyFont="1" applyAlignment="1">
      <alignment horizontal="center"/>
    </xf>
    <xf numFmtId="173" fontId="19" fillId="0" borderId="1" xfId="1009" applyFont="1" applyBorder="1" applyAlignment="1">
      <alignment horizontal="center" vertical="center" wrapText="1"/>
    </xf>
    <xf numFmtId="0" fontId="13" fillId="0" borderId="1" xfId="0" applyFont="1" applyBorder="1" applyAlignment="1">
      <alignment horizontal="center" vertical="center" wrapText="1"/>
    </xf>
    <xf numFmtId="0" fontId="27" fillId="53" borderId="1" xfId="0" applyFont="1" applyFill="1" applyBorder="1" applyAlignment="1">
      <alignment horizontal="center" vertical="center" wrapText="1"/>
    </xf>
    <xf numFmtId="0" fontId="19" fillId="0" borderId="0" xfId="0" applyFont="1" applyAlignment="1">
      <alignment horizontal="center"/>
    </xf>
    <xf numFmtId="0" fontId="2" fillId="0" borderId="0" xfId="0" applyFont="1" applyAlignment="1">
      <alignment horizontal="center"/>
    </xf>
    <xf numFmtId="0" fontId="19"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4" fillId="0" borderId="0" xfId="0" applyFont="1" applyAlignment="1">
      <alignment horizontal="center"/>
    </xf>
    <xf numFmtId="0" fontId="33" fillId="0" borderId="0" xfId="0" applyFont="1" applyFill="1" applyAlignment="1">
      <alignment horizontal="center"/>
    </xf>
    <xf numFmtId="0" fontId="2" fillId="0" borderId="0" xfId="0" applyFont="1" applyFill="1" applyAlignment="1">
      <alignment horizontal="center"/>
    </xf>
    <xf numFmtId="0" fontId="3" fillId="0" borderId="1" xfId="0" applyFont="1" applyBorder="1" applyAlignment="1">
      <alignment horizontal="center" vertical="center" wrapText="1"/>
    </xf>
    <xf numFmtId="173" fontId="3" fillId="0" borderId="1" xfId="1009" applyFont="1" applyBorder="1" applyAlignment="1">
      <alignment horizontal="center" vertical="center" wrapText="1"/>
    </xf>
    <xf numFmtId="0" fontId="33" fillId="0" borderId="0" xfId="0" applyFont="1" applyFill="1" applyAlignment="1">
      <alignment horizontal="center" wrapText="1"/>
    </xf>
    <xf numFmtId="0" fontId="34" fillId="0" borderId="0" xfId="0" applyFont="1" applyFill="1" applyAlignment="1">
      <alignment horizontal="center"/>
    </xf>
    <xf numFmtId="0" fontId="3" fillId="0" borderId="4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9" xfId="0" applyFont="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vertical="center" wrapText="1"/>
    </xf>
    <xf numFmtId="0" fontId="4" fillId="0" borderId="0" xfId="0" applyFont="1" applyAlignment="1">
      <alignment horizontal="center"/>
    </xf>
    <xf numFmtId="0" fontId="2" fillId="0" borderId="0" xfId="1529" applyFont="1" applyAlignment="1">
      <alignment horizontal="center"/>
      <protection/>
    </xf>
    <xf numFmtId="0" fontId="7" fillId="0" borderId="0" xfId="1529" applyFont="1" applyAlignment="1">
      <alignment horizontal="center"/>
      <protection/>
    </xf>
    <xf numFmtId="0" fontId="8" fillId="0" borderId="0" xfId="1529" applyFont="1" applyAlignment="1">
      <alignment horizontal="center"/>
      <protection/>
    </xf>
    <xf numFmtId="0" fontId="7" fillId="0" borderId="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10" xfId="0" applyFont="1" applyBorder="1" applyAlignment="1">
      <alignment horizontal="center" vertical="center" wrapText="1"/>
    </xf>
    <xf numFmtId="0" fontId="19" fillId="0" borderId="1" xfId="0" applyFont="1" applyBorder="1" applyAlignment="1">
      <alignment horizontal="center" vertical="center" wrapText="1"/>
    </xf>
    <xf numFmtId="177" fontId="13" fillId="0" borderId="1" xfId="1009" applyNumberFormat="1" applyFont="1" applyBorder="1" applyAlignment="1">
      <alignment horizontal="center" vertical="center" wrapText="1"/>
    </xf>
    <xf numFmtId="0" fontId="27" fillId="0" borderId="0" xfId="0" applyFont="1" applyAlignment="1">
      <alignment horizontal="center"/>
    </xf>
    <xf numFmtId="0" fontId="15" fillId="0" borderId="0" xfId="0" applyFont="1" applyAlignment="1">
      <alignment horizontal="center"/>
    </xf>
    <xf numFmtId="0" fontId="13" fillId="0" borderId="0" xfId="0" applyFont="1" applyFill="1" applyAlignment="1">
      <alignment horizontal="center"/>
    </xf>
    <xf numFmtId="0" fontId="14" fillId="0" borderId="0" xfId="0" applyFont="1" applyFill="1" applyAlignment="1">
      <alignment horizontal="center"/>
    </xf>
    <xf numFmtId="0" fontId="14" fillId="0" borderId="11" xfId="0" applyFont="1" applyFill="1" applyBorder="1" applyAlignment="1">
      <alignment horizontal="center"/>
    </xf>
    <xf numFmtId="0" fontId="21"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54" fillId="0" borderId="64" xfId="0" applyFont="1" applyFill="1" applyBorder="1" applyAlignment="1">
      <alignment horizontal="left" vertical="center" wrapText="1"/>
    </xf>
    <xf numFmtId="0" fontId="54" fillId="0" borderId="65"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2047">
    <cellStyle name="Normal" xfId="0"/>
    <cellStyle name="_x0001_" xfId="15"/>
    <cellStyle name="          &#13;&#10;shell=progman.exe&#13;&#10;m" xfId="16"/>
    <cellStyle name=" (2)" xfId="17"/>
    <cellStyle name="&#13;&#10;JournalTemplate=C:\COMFO\CTALK\JOURSTD.TPL&#13;&#10;LbStateAddress=3 3 0 251 1 89 2 311&#13;&#10;LbStateJou" xfId="18"/>
    <cellStyle name="#,##0" xfId="19"/>
    <cellStyle name="." xfId="20"/>
    <cellStyle name=".d©y" xfId="21"/>
    <cellStyle name="??" xfId="22"/>
    <cellStyle name="?? [0.00]_      " xfId="23"/>
    <cellStyle name="?? [0]" xfId="24"/>
    <cellStyle name="?_x001D_??%U©÷u&amp;H©÷9_x0008_? s&#10;_x0007__x0001__x0001_" xfId="25"/>
    <cellStyle name="?_x001D_??%U©÷u&amp;H©÷9_x0008_? s&#10;_x0007__x0001__x0001_" xfId="26"/>
    <cellStyle name="???? [0.00]_      " xfId="27"/>
    <cellStyle name="??????" xfId="28"/>
    <cellStyle name="????_      " xfId="29"/>
    <cellStyle name="???[0]_?? DI" xfId="30"/>
    <cellStyle name="???_?? DI" xfId="31"/>
    <cellStyle name="??[0]_BRE" xfId="32"/>
    <cellStyle name="??_      " xfId="33"/>
    <cellStyle name="??A? [0]_laroux_1_¢¬???¢â? " xfId="34"/>
    <cellStyle name="??A?_laroux_1_¢¬???¢â? " xfId="35"/>
    <cellStyle name="?¡±¢¥?_?¨ù??¢´¢¥_¢¬???¢â? " xfId="36"/>
    <cellStyle name="_x0001_?¶æµ_x001B_ºß­ " xfId="37"/>
    <cellStyle name="_x0001_?¶æµ_x001B_ºß­_" xfId="38"/>
    <cellStyle name="?ðÇ%U?&amp;H?_x0008_?s&#10;_x0007__x0001__x0001_" xfId="39"/>
    <cellStyle name="[0]_Chi phÝ kh¸c_V" xfId="40"/>
    <cellStyle name="_x0001_\Ô" xfId="41"/>
    <cellStyle name="_1 TONG HOP - CA NA" xfId="42"/>
    <cellStyle name="_12-Thong ke cac lop LKDT (vlvh, tu xa, dia chi, cu tuyen) nam 2011, 2012" xfId="43"/>
    <cellStyle name="_8" xfId="44"/>
    <cellStyle name="_9" xfId="45"/>
    <cellStyle name="_Bang Chi tieu (2)" xfId="46"/>
    <cellStyle name="_Bao Cao thang 1" xfId="47"/>
    <cellStyle name="_Bao Cao thang 1_thong ke cac cap20142015" xfId="48"/>
    <cellStyle name="_BAO GIA NGAY 24-10-08 (co dam)" xfId="49"/>
    <cellStyle name="_BC CV1865" xfId="50"/>
    <cellStyle name="_Bieu bao cao von TPCP gd 2003-2010(18.5)" xfId="51"/>
    <cellStyle name="_Bieu bao cao von TPCP gd 2003-2010(18.5)_thong ke cac cap20142015" xfId="52"/>
    <cellStyle name="_Bieu chung trai phieu chinh phu giai doan 2003-2010" xfId="53"/>
    <cellStyle name="_Biểu tiêu chí toàn tỉnh 2011-2020" xfId="54"/>
    <cellStyle name="_Book1" xfId="55"/>
    <cellStyle name="_Book1_1" xfId="56"/>
    <cellStyle name="_Book1_2" xfId="57"/>
    <cellStyle name="_Book1_3" xfId="58"/>
    <cellStyle name="_Book1_Bang luong thang 9.2011(830)" xfId="59"/>
    <cellStyle name="_Book1_Bang luong thang 9.2011(830)_thong ke cac cap20142015" xfId="60"/>
    <cellStyle name="_Book1_Bieu bao cao von TPCP gd 2003-2010(18.5)" xfId="61"/>
    <cellStyle name="_Book1_Bieu bao cao von TPCP gd 2003-2010(18.5)_thong ke cac cap20142015" xfId="62"/>
    <cellStyle name="_Book1_Book1" xfId="63"/>
    <cellStyle name="_Book1_Book1_1" xfId="64"/>
    <cellStyle name="_Book1_Book1_thong ke cac cap20142015" xfId="65"/>
    <cellStyle name="_Book1_Book1_Tiến độ XDCB đến tháng 5 - 2015" xfId="66"/>
    <cellStyle name="_Book1_KCH - TH - 03PA2-03 truong THCS ban phiet thong lang chung" xfId="67"/>
    <cellStyle name="_Book1_Kh ql62 (2010) 11-09" xfId="68"/>
    <cellStyle name="_Book1_MN TT Pho Lu" xfId="69"/>
    <cellStyle name="_Book1_Tiến độ XDCB đến tháng 5 - 2015" xfId="70"/>
    <cellStyle name="_Book1_tongket2003-2010 Kg Vu DP" xfId="71"/>
    <cellStyle name="_Book1_tongket2003-2010 Kg Vu DP_thong ke cac cap20142015" xfId="72"/>
    <cellStyle name="_C.cong+B.luong-Sanluong" xfId="73"/>
    <cellStyle name="_CAI TAO BEP AN" xfId="74"/>
    <cellStyle name="_DE NGHỊ THẨM ĐỊNH TC (1)" xfId="75"/>
    <cellStyle name="_DO-D1500-KHONG CO TRONG DT" xfId="76"/>
    <cellStyle name="_Don gia 408" xfId="77"/>
    <cellStyle name="_DT - KCH-TH-LC-03PA2-03" xfId="78"/>
    <cellStyle name="_DT Nam vai" xfId="79"/>
    <cellStyle name="_Du toan" xfId="80"/>
    <cellStyle name="_duong GT di phong HTKTsua" xfId="81"/>
    <cellStyle name="_duong GT di phong HTKTsua_thong ke cac cap20142015" xfId="82"/>
    <cellStyle name="_Duyet TK thay đôi" xfId="83"/>
    <cellStyle name="_Duyet TK thay đôi_thong ke cac cap20142015" xfId="84"/>
    <cellStyle name="_DZ 110kV NK-TU" xfId="85"/>
    <cellStyle name="_Gia+KLdieuchinhgoi1" xfId="86"/>
    <cellStyle name="_Gia+KLdieuchinhgoi1_Cau Km109-108" xfId="87"/>
    <cellStyle name="_Gia+KLdieuchinhgoi1_PLV" xfId="88"/>
    <cellStyle name="_Gia+KLdieuchinhgoi1_VCDS" xfId="89"/>
    <cellStyle name="_Gia+KLgoi2dieuchinh" xfId="90"/>
    <cellStyle name="_Goi 1 A tham tra" xfId="91"/>
    <cellStyle name="_GOITHAUSO2" xfId="92"/>
    <cellStyle name="_GOITHAUSO3" xfId="93"/>
    <cellStyle name="_GOITHAUSO4" xfId="94"/>
    <cellStyle name="_HaHoa_TDT_DienCSang" xfId="95"/>
    <cellStyle name="_HaHoa19-5-07" xfId="96"/>
    <cellStyle name="_HS BT huong che do theo QĐ85-so chua dieu chinh va da dieu chỉnh" xfId="97"/>
    <cellStyle name="_KCH - TH - 03PA2-03 truong THCS ban phiet thong lang chung" xfId="98"/>
    <cellStyle name="_Kh ql62 (2010) 11-09" xfId="99"/>
    <cellStyle name="_KL_K.C_mat_duong" xfId="100"/>
    <cellStyle name="_KL_K.C_mat_duong_DE NGHỊ THẨM ĐỊNH TC (1)" xfId="101"/>
    <cellStyle name="_KL_K.C_mat_duong_thong ke cac cap20142015" xfId="102"/>
    <cellStyle name="_KT (2)" xfId="103"/>
    <cellStyle name="_KT (2)_1" xfId="104"/>
    <cellStyle name="_KT (2)_2" xfId="105"/>
    <cellStyle name="_KT (2)_2_TG-TH" xfId="106"/>
    <cellStyle name="_KT (2)_2_TG-TH_BANG TONG HOP TINH HINH THANH QUYET TOAN (MOI I)" xfId="107"/>
    <cellStyle name="_KT (2)_2_TG-TH_BAO GIA NGAY 24-10-08 (co dam)" xfId="108"/>
    <cellStyle name="_KT (2)_2_TG-TH_BIEU CHI TIEU, NGUYEN TAC PHAN BO" xfId="109"/>
    <cellStyle name="_KT (2)_2_TG-TH_Book1" xfId="110"/>
    <cellStyle name="_KT (2)_2_TG-TH_Book1_1" xfId="111"/>
    <cellStyle name="_KT (2)_2_TG-TH_CAU Khanh Nam(Thi Cong)" xfId="112"/>
    <cellStyle name="_KT (2)_2_TG-TH_DU TRU VAT TU" xfId="113"/>
    <cellStyle name="_KT (2)_2_TG-TH_Tiến độ XDCB đến tháng 5 - 2015" xfId="114"/>
    <cellStyle name="_KT (2)_2_TG-TH_ÿÿÿÿÿ" xfId="115"/>
    <cellStyle name="_KT (2)_3" xfId="116"/>
    <cellStyle name="_KT (2)_3_TG-TH" xfId="117"/>
    <cellStyle name="_KT (2)_3_TG-TH_PERSONAL" xfId="118"/>
    <cellStyle name="_KT (2)_3_TG-TH_PERSONAL_Book1" xfId="119"/>
    <cellStyle name="_KT (2)_3_TG-TH_PERSONAL_Tong hop KHCB 2001" xfId="120"/>
    <cellStyle name="_KT (2)_4" xfId="121"/>
    <cellStyle name="_KT (2)_4_BANG TONG HOP TINH HINH THANH QUYET TOAN (MOI I)" xfId="122"/>
    <cellStyle name="_KT (2)_4_BAO GIA NGAY 24-10-08 (co dam)" xfId="123"/>
    <cellStyle name="_KT (2)_4_BIEU CHI TIEU, NGUYEN TAC PHAN BO" xfId="124"/>
    <cellStyle name="_KT (2)_4_Book1" xfId="125"/>
    <cellStyle name="_KT (2)_4_Book1_1" xfId="126"/>
    <cellStyle name="_KT (2)_4_CAU Khanh Nam(Thi Cong)" xfId="127"/>
    <cellStyle name="_KT (2)_4_DU TRU VAT TU" xfId="128"/>
    <cellStyle name="_KT (2)_4_TG-TH" xfId="129"/>
    <cellStyle name="_KT (2)_4_Tiến độ XDCB đến tháng 5 - 2015" xfId="130"/>
    <cellStyle name="_KT (2)_4_ÿÿÿÿÿ" xfId="131"/>
    <cellStyle name="_KT (2)_5" xfId="132"/>
    <cellStyle name="_KT (2)_5_BANG TONG HOP TINH HINH THANH QUYET TOAN (MOI I)" xfId="133"/>
    <cellStyle name="_KT (2)_5_BAO GIA NGAY 24-10-08 (co dam)" xfId="134"/>
    <cellStyle name="_KT (2)_5_BIEU CHI TIEU, NGUYEN TAC PHAN BO" xfId="135"/>
    <cellStyle name="_KT (2)_5_Book1" xfId="136"/>
    <cellStyle name="_KT (2)_5_Book1_1" xfId="137"/>
    <cellStyle name="_KT (2)_5_CAU Khanh Nam(Thi Cong)" xfId="138"/>
    <cellStyle name="_KT (2)_5_DU TRU VAT TU" xfId="139"/>
    <cellStyle name="_KT (2)_5_Tiến độ XDCB đến tháng 5 - 2015" xfId="140"/>
    <cellStyle name="_KT (2)_5_ÿÿÿÿÿ" xfId="141"/>
    <cellStyle name="_KT (2)_PERSONAL" xfId="142"/>
    <cellStyle name="_KT (2)_PERSONAL_Book1" xfId="143"/>
    <cellStyle name="_KT (2)_PERSONAL_Tong hop KHCB 2001" xfId="144"/>
    <cellStyle name="_KT (2)_TG-TH" xfId="145"/>
    <cellStyle name="_KT_TG" xfId="146"/>
    <cellStyle name="_KT_TG_1" xfId="147"/>
    <cellStyle name="_KT_TG_1_BANG TONG HOP TINH HINH THANH QUYET TOAN (MOI I)" xfId="148"/>
    <cellStyle name="_KT_TG_1_BAO GIA NGAY 24-10-08 (co dam)" xfId="149"/>
    <cellStyle name="_KT_TG_1_BIEU CHI TIEU, NGUYEN TAC PHAN BO" xfId="150"/>
    <cellStyle name="_KT_TG_1_Book1" xfId="151"/>
    <cellStyle name="_KT_TG_1_Book1_1" xfId="152"/>
    <cellStyle name="_KT_TG_1_CAU Khanh Nam(Thi Cong)" xfId="153"/>
    <cellStyle name="_KT_TG_1_DU TRU VAT TU" xfId="154"/>
    <cellStyle name="_KT_TG_1_Tiến độ XDCB đến tháng 5 - 2015" xfId="155"/>
    <cellStyle name="_KT_TG_1_ÿÿÿÿÿ" xfId="156"/>
    <cellStyle name="_KT_TG_2" xfId="157"/>
    <cellStyle name="_KT_TG_2_BANG TONG HOP TINH HINH THANH QUYET TOAN (MOI I)" xfId="158"/>
    <cellStyle name="_KT_TG_2_BAO GIA NGAY 24-10-08 (co dam)" xfId="159"/>
    <cellStyle name="_KT_TG_2_BIEU CHI TIEU, NGUYEN TAC PHAN BO" xfId="160"/>
    <cellStyle name="_KT_TG_2_Book1" xfId="161"/>
    <cellStyle name="_KT_TG_2_Book1_1" xfId="162"/>
    <cellStyle name="_KT_TG_2_CAU Khanh Nam(Thi Cong)" xfId="163"/>
    <cellStyle name="_KT_TG_2_DU TRU VAT TU" xfId="164"/>
    <cellStyle name="_KT_TG_2_Tiến độ XDCB đến tháng 5 - 2015" xfId="165"/>
    <cellStyle name="_KT_TG_2_ÿÿÿÿÿ" xfId="166"/>
    <cellStyle name="_KT_TG_3" xfId="167"/>
    <cellStyle name="_KT_TG_4" xfId="168"/>
    <cellStyle name="_MauThanTKKT-goi7-DonGia2143(vl t7)" xfId="169"/>
    <cellStyle name="_MauThanTKKT-goi7-DonGia2143(vl t7)_thong ke cac cap20142015" xfId="170"/>
    <cellStyle name="_MN TT Pho Lu" xfId="171"/>
    <cellStyle name="_Nguyen Trai - Truong son- Sam son- chia 2 goi thau bo sung van chuyen" xfId="172"/>
    <cellStyle name="_Nhu cau von ung truoc 2011 Tha h Hoa + Nge An gui TW" xfId="173"/>
    <cellStyle name="_Nhu cau von ung truoc 2011 Tha h Hoa + Nge An gui TW_thong ke cac cap20142015" xfId="174"/>
    <cellStyle name="_Ninh binh" xfId="175"/>
    <cellStyle name="_Ninh binh_Cau Km109-108" xfId="176"/>
    <cellStyle name="_Ninh binh_PLV" xfId="177"/>
    <cellStyle name="_Ninh binh_VCDS" xfId="178"/>
    <cellStyle name="_Ninh binhngoai" xfId="179"/>
    <cellStyle name="_Ninh binhngoai_Cau Km109-108" xfId="180"/>
    <cellStyle name="_Ninh binhngoai_PLV" xfId="181"/>
    <cellStyle name="_Ninh binhngoai_VCDS" xfId="182"/>
    <cellStyle name="_PERSONAL" xfId="183"/>
    <cellStyle name="_PERSONAL_Book1" xfId="184"/>
    <cellStyle name="_PERSONAL_Tong hop KHCB 2001" xfId="185"/>
    <cellStyle name="_Q TOAN  SCTX QL.62 QUI I ( oanh)" xfId="186"/>
    <cellStyle name="_Q TOAN  SCTX QL.62 QUI II ( oanh)" xfId="187"/>
    <cellStyle name="_Q4_1ormal_Q496 SBU" xfId="188"/>
    <cellStyle name="_QT SCTXQL62_QT1 (Cty QL)" xfId="189"/>
    <cellStyle name="_Quyết toán năm-Qn" xfId="190"/>
    <cellStyle name="_Rà soat biên chế và đăng ký nhu cầu tuyển dụng (4.2011)" xfId="191"/>
    <cellStyle name="_Sheet1" xfId="192"/>
    <cellStyle name="_Sheet1_HC Details" xfId="193"/>
    <cellStyle name="_Sheet1_HC Deta_x0012_Normal_Sheet1_P_x0015_Normal_Sheet1_Reserve" xfId="194"/>
    <cellStyle name="_Sheet1_Reserve" xfId="195"/>
    <cellStyle name="_Sheet2" xfId="196"/>
    <cellStyle name="_Sheet2_BIEU CHI TIEU, NGUYEN TAC PHAN BO" xfId="197"/>
    <cellStyle name="_Sheet2_Tiến độ XDCB đến tháng 5 - 2015" xfId="198"/>
    <cellStyle name="_Sheet3" xfId="199"/>
    <cellStyle name="_SPTQ2ACT" xfId="200"/>
    <cellStyle name="_TG-TH" xfId="201"/>
    <cellStyle name="_TG-TH_1" xfId="202"/>
    <cellStyle name="_TG-TH_1_BANG TONG HOP TINH HINH THANH QUYET TOAN (MOI I)" xfId="203"/>
    <cellStyle name="_TG-TH_1_BAO GIA NGAY 24-10-08 (co dam)" xfId="204"/>
    <cellStyle name="_TG-TH_1_BIEU CHI TIEU, NGUYEN TAC PHAN BO" xfId="205"/>
    <cellStyle name="_TG-TH_1_Book1" xfId="206"/>
    <cellStyle name="_TG-TH_1_Book1_1" xfId="207"/>
    <cellStyle name="_TG-TH_1_CAU Khanh Nam(Thi Cong)" xfId="208"/>
    <cellStyle name="_TG-TH_1_DU TRU VAT TU" xfId="209"/>
    <cellStyle name="_TG-TH_1_Tiến độ XDCB đến tháng 5 - 2015" xfId="210"/>
    <cellStyle name="_TG-TH_1_ÿÿÿÿÿ" xfId="211"/>
    <cellStyle name="_TG-TH_2" xfId="212"/>
    <cellStyle name="_TG-TH_2_BANG TONG HOP TINH HINH THANH QUYET TOAN (MOI I)" xfId="213"/>
    <cellStyle name="_TG-TH_2_BAO GIA NGAY 24-10-08 (co dam)" xfId="214"/>
    <cellStyle name="_TG-TH_2_BIEU CHI TIEU, NGUYEN TAC PHAN BO" xfId="215"/>
    <cellStyle name="_TG-TH_2_Book1" xfId="216"/>
    <cellStyle name="_TG-TH_2_Book1_1" xfId="217"/>
    <cellStyle name="_TG-TH_2_CAU Khanh Nam(Thi Cong)" xfId="218"/>
    <cellStyle name="_TG-TH_2_DU TRU VAT TU" xfId="219"/>
    <cellStyle name="_TG-TH_2_Tiến độ XDCB đến tháng 5 - 2015" xfId="220"/>
    <cellStyle name="_TG-TH_2_ÿÿÿÿÿ" xfId="221"/>
    <cellStyle name="_TG-TH_3" xfId="222"/>
    <cellStyle name="_TG-TH_4" xfId="223"/>
    <cellStyle name="_THCPKS" xfId="224"/>
    <cellStyle name="_Tong dutoan PP LAHAI" xfId="225"/>
    <cellStyle name="_Tong hop may cheu nganh 1" xfId="226"/>
    <cellStyle name="_TỔNG HỢP NÔNG THÔN MỚI 2014" xfId="227"/>
    <cellStyle name="_tongket2003-2010 Kg Vu DP" xfId="228"/>
    <cellStyle name="_ung truoc 2011 NSTW Thanh Hoa + Nge An gui Thu 12-5" xfId="229"/>
    <cellStyle name="_ung truoc 2011 NSTW Thanh Hoa + Nge An gui Thu 12-5_thong ke cac cap20142015" xfId="230"/>
    <cellStyle name="_ung truoc cua long an (6-5-2010)" xfId="231"/>
    <cellStyle name="_Ung von nam 2011 vung TNB - Doan Cong tac (12-5-2010)" xfId="232"/>
    <cellStyle name="_Ung von nam 2011 vung TNB - Doan Cong tac (12-5-2010)_thong ke cac cap20142015" xfId="233"/>
    <cellStyle name="_XU LY MONG" xfId="234"/>
    <cellStyle name="_XU LY MONG_thong ke cac cap20142015" xfId="235"/>
    <cellStyle name="_ÿÿÿÿÿ" xfId="236"/>
    <cellStyle name="_ÿÿÿÿÿ_Kh ql62 (2010) 11-09" xfId="237"/>
    <cellStyle name="_ÿÿÿÿÿ_thong ke cac cap20142015" xfId="238"/>
    <cellStyle name="_ÿÿÿÿÿ_Tiến độ XDCB đến tháng 5 - 2015" xfId="239"/>
    <cellStyle name="~1" xfId="240"/>
    <cellStyle name="_x0001_¨c^ " xfId="241"/>
    <cellStyle name="_x0001_¨c^[" xfId="242"/>
    <cellStyle name="_x0001_¨c^_" xfId="243"/>
    <cellStyle name="_x0001_¨Œc^ " xfId="244"/>
    <cellStyle name="_x0001_¨Œc^[" xfId="245"/>
    <cellStyle name="_x0001_¨Œc^_" xfId="246"/>
    <cellStyle name="’Ê‰Ý [0.00]_laroux" xfId="247"/>
    <cellStyle name="’Ê‰Ý_laroux" xfId="248"/>
    <cellStyle name="_x0001_µÑTÖ " xfId="249"/>
    <cellStyle name="_x0001_µÑTÖ_" xfId="250"/>
    <cellStyle name="•W?_¯–ì" xfId="251"/>
    <cellStyle name="•W€_¯–ì" xfId="252"/>
    <cellStyle name="•W_¯–ì" xfId="253"/>
    <cellStyle name="W_MARINE" xfId="254"/>
    <cellStyle name="0" xfId="255"/>
    <cellStyle name="0%" xfId="256"/>
    <cellStyle name="0,0" xfId="257"/>
    <cellStyle name="0.0" xfId="258"/>
    <cellStyle name="0.0%" xfId="259"/>
    <cellStyle name="0.0_BIEU CHI TIEU, NGUYEN TAC PHAN BO" xfId="260"/>
    <cellStyle name="0.00" xfId="261"/>
    <cellStyle name="0.00%" xfId="262"/>
    <cellStyle name="0_Book1" xfId="263"/>
    <cellStyle name="0_dao dap ma sa phin-2010" xfId="264"/>
    <cellStyle name="1" xfId="265"/>
    <cellStyle name="1 UPDATE" xfId="266"/>
    <cellStyle name="1_1. Dutoan_ngo88" xfId="267"/>
    <cellStyle name="1_985-KL cau" xfId="268"/>
    <cellStyle name="1_Bang tong hop khoi luong" xfId="269"/>
    <cellStyle name="1_Bao cao T10" xfId="270"/>
    <cellStyle name="1_BAO GIA NGAY 24-10-08 (co dam)" xfId="271"/>
    <cellStyle name="1_BC CV1865" xfId="272"/>
    <cellStyle name="1_Book1" xfId="273"/>
    <cellStyle name="1_Book1_1" xfId="274"/>
    <cellStyle name="1_Book1_1_thong ke cac cap20142015" xfId="275"/>
    <cellStyle name="1_Book1_1_Tiến độ XDCB đến tháng 5 - 2015" xfId="276"/>
    <cellStyle name="1_Book1_BIEU CHI TIEU, NGUYEN TAC PHAN BO" xfId="277"/>
    <cellStyle name="1_Book1_Book1" xfId="278"/>
    <cellStyle name="1_Book1_Du toan KT-TCsua theo TT 03 - YC 471" xfId="279"/>
    <cellStyle name="1_Book1_Du toan Phuong lam" xfId="280"/>
    <cellStyle name="1_Book1_Khoi Luong Hoang Truong - Hoang Phu" xfId="281"/>
    <cellStyle name="1_Book1_Muong TL" xfId="282"/>
    <cellStyle name="1_Book1_Tiến độ XDCB đến tháng 5 - 2015" xfId="283"/>
    <cellStyle name="1_C" xfId="284"/>
    <cellStyle name="1_Cau Doan" xfId="285"/>
    <cellStyle name="1_Cau Hua Trai (TT 04)" xfId="286"/>
    <cellStyle name="1_cau km 1089+143" xfId="287"/>
    <cellStyle name="1_Cau thuy dien Ban La (Cu Anh)" xfId="288"/>
    <cellStyle name="1_Cau thuy dien Ban La (Cu Anh)_thong ke cac cap20142015" xfId="289"/>
    <cellStyle name="1_Cau thuy dien Ban La (Cu Anh)_Tiến độ XDCB đến tháng 5 - 2015" xfId="290"/>
    <cellStyle name="1_chi tiet T9-06" xfId="291"/>
    <cellStyle name="1_CLDV PSTN 11(1).6" xfId="292"/>
    <cellStyle name="1_CLDV PSTN 2(1).7v1" xfId="293"/>
    <cellStyle name="1_CLDV PSTN 24(1).6" xfId="294"/>
    <cellStyle name="1_cong" xfId="295"/>
    <cellStyle name="1_Copy of hp-1" xfId="296"/>
    <cellStyle name="1_dam tam" xfId="297"/>
    <cellStyle name="1_danh sach kh vip" xfId="298"/>
    <cellStyle name="1_DE NGHỊ THẨM ĐỊNH TC (1)" xfId="299"/>
    <cellStyle name="1_DIEN" xfId="300"/>
    <cellStyle name="1_Dinh muc thiet ke" xfId="301"/>
    <cellStyle name="1_Du toan (23-05-2005) Tham dinh" xfId="302"/>
    <cellStyle name="1_Du toan (5 - 04 - 2004)" xfId="303"/>
    <cellStyle name="1_Du toan 558 (Km17+508.12 - Km 22)" xfId="304"/>
    <cellStyle name="1_Du toan 558 (Km17+508.12 - Km 22)_thong ke cac cap20142015" xfId="305"/>
    <cellStyle name="1_Du toan 558 (Km17+508.12 - Km 22)_Tiến độ XDCB đến tháng 5 - 2015" xfId="306"/>
    <cellStyle name="1_Du toan bo sung (11-2004)" xfId="307"/>
    <cellStyle name="1_Du toan Goi 1" xfId="308"/>
    <cellStyle name="1_Du toan Goi 2" xfId="309"/>
    <cellStyle name="1_Du toan KT-TCsua theo TT 03 - YC 471" xfId="310"/>
    <cellStyle name="1_Du toan ngay (28-10-2005)" xfId="311"/>
    <cellStyle name="1_Du toan ngay 1-9-2004 (version 1)" xfId="312"/>
    <cellStyle name="1_Du toan Phuong lam" xfId="313"/>
    <cellStyle name="1_Du toan QL 27 (23-12-2005)" xfId="314"/>
    <cellStyle name="1_Gia_VLQL48_duyet " xfId="315"/>
    <cellStyle name="1_Gia_VLQL48_duyet _thong ke cac cap20142015" xfId="316"/>
    <cellStyle name="1_Gia_VLQL48_duyet _Tiến độ XDCB đến tháng 5 - 2015" xfId="317"/>
    <cellStyle name="1_goi 1" xfId="318"/>
    <cellStyle name="1_Goi 1 (TT04)" xfId="319"/>
    <cellStyle name="1_Goi1N206" xfId="320"/>
    <cellStyle name="1_Goi2N206" xfId="321"/>
    <cellStyle name="1_Goi4N216" xfId="322"/>
    <cellStyle name="1_Goi5N216" xfId="323"/>
    <cellStyle name="1_Hoi Song" xfId="324"/>
    <cellStyle name="1_Kh ql62 (2010) 11-09" xfId="325"/>
    <cellStyle name="1_khao sat 1025+270" xfId="326"/>
    <cellStyle name="1_Khoi luong" xfId="327"/>
    <cellStyle name="1_Khoi luong doan 1" xfId="328"/>
    <cellStyle name="1_Khoi Luong Hoang Truong - Hoang Phu" xfId="329"/>
    <cellStyle name="1_Kl6-6-05" xfId="330"/>
    <cellStyle name="1_KL-dutoan - 1025" xfId="331"/>
    <cellStyle name="1_Klnutgiao" xfId="332"/>
    <cellStyle name="1_KlQdinhduyet" xfId="333"/>
    <cellStyle name="1_KlQdinhduyet_thong ke cac cap20142015" xfId="334"/>
    <cellStyle name="1_KlQdinhduyet_Tiến độ XDCB đến tháng 5 - 2015" xfId="335"/>
    <cellStyle name="1_KlQL4goi5KCS" xfId="336"/>
    <cellStyle name="1_Kltayth" xfId="337"/>
    <cellStyle name="1_KltaythQDduyet" xfId="338"/>
    <cellStyle name="1_Kluong4-2004" xfId="339"/>
    <cellStyle name="1_Km1025+270 thuong" xfId="340"/>
    <cellStyle name="1_Mau BC CLDV PSTN Q2" xfId="341"/>
    <cellStyle name="1_mau thong ke su co" xfId="342"/>
    <cellStyle name="1_maugiacotaluy" xfId="343"/>
    <cellStyle name="1_PSTN 27.5" xfId="344"/>
    <cellStyle name="1_Reserve" xfId="345"/>
    <cellStyle name="1_Sheet1" xfId="346"/>
    <cellStyle name="1_t" xfId="347"/>
    <cellStyle name="1_Theo doi vat tu thang 9" xfId="348"/>
    <cellStyle name="1_thong ke cac cap20142015" xfId="349"/>
    <cellStyle name="1_Tiến độ XDCB đến tháng 5 - 2015" xfId="350"/>
    <cellStyle name="1_TienLuong" xfId="351"/>
    <cellStyle name="1_TRUNG PMU 5" xfId="352"/>
    <cellStyle name="1_ÿÿÿÿÿ" xfId="353"/>
    <cellStyle name="1_ÿÿÿÿÿ_Bieu tong hop nhu cau ung 2011 da chon loc -Mien nui" xfId="354"/>
    <cellStyle name="1_ÿÿÿÿÿ_Book1" xfId="355"/>
    <cellStyle name="1_ÿÿÿÿÿ_Kh ql62 (2010) 11-09" xfId="356"/>
    <cellStyle name="_x0001_1¼„½(" xfId="357"/>
    <cellStyle name="_x0001_1¼½(" xfId="358"/>
    <cellStyle name="18" xfId="359"/>
    <cellStyle name="196W50" xfId="360"/>
    <cellStyle name="¹éºÐÀ²_      " xfId="361"/>
    <cellStyle name="2" xfId="362"/>
    <cellStyle name="2_Bang tong hop khoi luong" xfId="363"/>
    <cellStyle name="2_Bao cao T10" xfId="364"/>
    <cellStyle name="2_Book1" xfId="365"/>
    <cellStyle name="2_Book1_1" xfId="366"/>
    <cellStyle name="2_Book1_1_thong ke cac cap20142015" xfId="367"/>
    <cellStyle name="2_Book1_1_Tiến độ XDCB đến tháng 5 - 2015" xfId="368"/>
    <cellStyle name="2_Book1_BIEU CHI TIEU, NGUYEN TAC PHAN BO" xfId="369"/>
    <cellStyle name="2_Book1_Book1" xfId="370"/>
    <cellStyle name="2_Book1_Du toan KT-TCsua theo TT 03 - YC 471" xfId="371"/>
    <cellStyle name="2_Book1_Du toan Phuong lam" xfId="372"/>
    <cellStyle name="2_Book1_Khoi Luong Hoang Truong - Hoang Phu" xfId="373"/>
    <cellStyle name="2_Book1_Muong TL" xfId="374"/>
    <cellStyle name="2_Book1_Tiến độ XDCB đến tháng 5 - 2015" xfId="375"/>
    <cellStyle name="2_C" xfId="376"/>
    <cellStyle name="2_Cau Hua Trai (TT 04)" xfId="377"/>
    <cellStyle name="2_Cau Km109-108-1" xfId="378"/>
    <cellStyle name="2_Cau Tho Vuc sua25.10.09" xfId="379"/>
    <cellStyle name="2_Cau thuy dien Ban La (Cu Anh)" xfId="380"/>
    <cellStyle name="2_Cau thuy dien Ban La (Cu Anh)_thong ke cac cap20142015" xfId="381"/>
    <cellStyle name="2_Cau thuy dien Ban La (Cu Anh)_Tiến độ XDCB đến tháng 5 - 2015" xfId="382"/>
    <cellStyle name="2_chi tiet T9-06" xfId="383"/>
    <cellStyle name="2_CLDV PSTN 11(1).6" xfId="384"/>
    <cellStyle name="2_CLDV PSTN 2(1).7v1" xfId="385"/>
    <cellStyle name="2_CLDV PSTN 24(1).6" xfId="386"/>
    <cellStyle name="2_cong" xfId="387"/>
    <cellStyle name="2_Copy of hp-1" xfId="388"/>
    <cellStyle name="2_danh sach kh vip" xfId="389"/>
    <cellStyle name="2_DIEN" xfId="390"/>
    <cellStyle name="2_Dinh muc thiet ke" xfId="391"/>
    <cellStyle name="2_Du toan (23-05-2005) Tham dinh" xfId="392"/>
    <cellStyle name="2_Du toan (5 - 04 - 2004)" xfId="393"/>
    <cellStyle name="2_Du toan 558 (Km17+508.12 - Km 22)" xfId="394"/>
    <cellStyle name="2_Du toan 558 (Km17+508.12 - Km 22)_thong ke cac cap20142015" xfId="395"/>
    <cellStyle name="2_Du toan 558 (Km17+508.12 - Km 22)_Tiến độ XDCB đến tháng 5 - 2015" xfId="396"/>
    <cellStyle name="2_Du toan bo sung (11-2004)" xfId="397"/>
    <cellStyle name="2_Du toan Goi 1" xfId="398"/>
    <cellStyle name="2_Du toan Goi 2" xfId="399"/>
    <cellStyle name="2_Du toan KT-TCsua theo TT 03 - YC 471" xfId="400"/>
    <cellStyle name="2_Du toan ngay (28-10-2005)" xfId="401"/>
    <cellStyle name="2_Du toan ngay 1-9-2004 (version 1)" xfId="402"/>
    <cellStyle name="2_Du toan Phuong lam" xfId="403"/>
    <cellStyle name="2_Du toan QL 27 (23-12-2005)" xfId="404"/>
    <cellStyle name="2_Gia_VLQL48_duyet " xfId="405"/>
    <cellStyle name="2_Gia_VLQL48_duyet _thong ke cac cap20142015" xfId="406"/>
    <cellStyle name="2_Gia_VLQL48_duyet _Tiến độ XDCB đến tháng 5 - 2015" xfId="407"/>
    <cellStyle name="2_goi 1" xfId="408"/>
    <cellStyle name="2_Goi 1 (TT04)" xfId="409"/>
    <cellStyle name="2_Goi1N206" xfId="410"/>
    <cellStyle name="2_Goi2N206" xfId="411"/>
    <cellStyle name="2_Goi4N216" xfId="412"/>
    <cellStyle name="2_Goi5N216" xfId="413"/>
    <cellStyle name="2_Hoi Song" xfId="414"/>
    <cellStyle name="2_Khoi luong" xfId="415"/>
    <cellStyle name="2_Khoi luong doan 1" xfId="416"/>
    <cellStyle name="2_Khoi Luong Hoang Truong - Hoang Phu" xfId="417"/>
    <cellStyle name="2_Kl6-6-05" xfId="418"/>
    <cellStyle name="2_Klnutgiao" xfId="419"/>
    <cellStyle name="2_KlQdinhduyet" xfId="420"/>
    <cellStyle name="2_KlQdinhduyet_thong ke cac cap20142015" xfId="421"/>
    <cellStyle name="2_KlQdinhduyet_Tiến độ XDCB đến tháng 5 - 2015" xfId="422"/>
    <cellStyle name="2_KlQL4goi5KCS" xfId="423"/>
    <cellStyle name="2_Kltayth" xfId="424"/>
    <cellStyle name="2_KltaythQDduyet" xfId="425"/>
    <cellStyle name="2_Kluong4-2004" xfId="426"/>
    <cellStyle name="2_Mau BC CLDV PSTN Q2" xfId="427"/>
    <cellStyle name="2_mau thong ke su co" xfId="428"/>
    <cellStyle name="2_maugiacotaluy" xfId="429"/>
    <cellStyle name="2_PSTN 27.5" xfId="430"/>
    <cellStyle name="2_Sheet1" xfId="431"/>
    <cellStyle name="2_t" xfId="432"/>
    <cellStyle name="2_Theo doi vat tu thang 9" xfId="433"/>
    <cellStyle name="2_TienLuong" xfId="434"/>
    <cellStyle name="2_TRUNG PMU 5" xfId="435"/>
    <cellStyle name="2_ÿÿÿÿÿ" xfId="436"/>
    <cellStyle name="2_ÿÿÿÿÿ_Bieu tong hop nhu cau ung 2011 da chon loc -Mien nui" xfId="437"/>
    <cellStyle name="2_ÿÿÿÿÿ_Book1" xfId="438"/>
    <cellStyle name="20" xfId="439"/>
    <cellStyle name="20% - Accent1" xfId="440"/>
    <cellStyle name="20% - Accent1 10" xfId="441"/>
    <cellStyle name="20% - Accent1 11" xfId="442"/>
    <cellStyle name="20% - Accent1 12" xfId="443"/>
    <cellStyle name="20% - Accent1 13" xfId="444"/>
    <cellStyle name="20% - Accent1 14" xfId="445"/>
    <cellStyle name="20% - Accent1 2" xfId="446"/>
    <cellStyle name="20% - Accent1 3" xfId="447"/>
    <cellStyle name="20% - Accent1 4" xfId="448"/>
    <cellStyle name="20% - Accent1 5" xfId="449"/>
    <cellStyle name="20% - Accent1 6" xfId="450"/>
    <cellStyle name="20% - Accent1 7" xfId="451"/>
    <cellStyle name="20% - Accent1 8" xfId="452"/>
    <cellStyle name="20% - Accent1 9" xfId="453"/>
    <cellStyle name="20% - Accent2" xfId="454"/>
    <cellStyle name="20% - Accent2 10" xfId="455"/>
    <cellStyle name="20% - Accent2 11" xfId="456"/>
    <cellStyle name="20% - Accent2 12" xfId="457"/>
    <cellStyle name="20% - Accent2 13" xfId="458"/>
    <cellStyle name="20% - Accent2 14" xfId="459"/>
    <cellStyle name="20% - Accent2 2" xfId="460"/>
    <cellStyle name="20% - Accent2 3" xfId="461"/>
    <cellStyle name="20% - Accent2 4" xfId="462"/>
    <cellStyle name="20% - Accent2 5" xfId="463"/>
    <cellStyle name="20% - Accent2 6" xfId="464"/>
    <cellStyle name="20% - Accent2 7" xfId="465"/>
    <cellStyle name="20% - Accent2 8" xfId="466"/>
    <cellStyle name="20% - Accent2 9" xfId="467"/>
    <cellStyle name="20% - Accent3" xfId="468"/>
    <cellStyle name="20% - Accent3 10" xfId="469"/>
    <cellStyle name="20% - Accent3 11" xfId="470"/>
    <cellStyle name="20% - Accent3 12" xfId="471"/>
    <cellStyle name="20% - Accent3 13" xfId="472"/>
    <cellStyle name="20% - Accent3 14" xfId="473"/>
    <cellStyle name="20% - Accent3 2" xfId="474"/>
    <cellStyle name="20% - Accent3 3" xfId="475"/>
    <cellStyle name="20% - Accent3 4" xfId="476"/>
    <cellStyle name="20% - Accent3 5" xfId="477"/>
    <cellStyle name="20% - Accent3 6" xfId="478"/>
    <cellStyle name="20% - Accent3 7" xfId="479"/>
    <cellStyle name="20% - Accent3 8" xfId="480"/>
    <cellStyle name="20% - Accent3 9" xfId="481"/>
    <cellStyle name="20% - Accent4" xfId="482"/>
    <cellStyle name="20% - Accent4 10" xfId="483"/>
    <cellStyle name="20% - Accent4 11" xfId="484"/>
    <cellStyle name="20% - Accent4 12" xfId="485"/>
    <cellStyle name="20% - Accent4 13" xfId="486"/>
    <cellStyle name="20% - Accent4 14" xfId="487"/>
    <cellStyle name="20% - Accent4 2" xfId="488"/>
    <cellStyle name="20% - Accent4 3" xfId="489"/>
    <cellStyle name="20% - Accent4 4" xfId="490"/>
    <cellStyle name="20% - Accent4 5" xfId="491"/>
    <cellStyle name="20% - Accent4 6" xfId="492"/>
    <cellStyle name="20% - Accent4 7" xfId="493"/>
    <cellStyle name="20% - Accent4 8" xfId="494"/>
    <cellStyle name="20% - Accent4 9" xfId="495"/>
    <cellStyle name="20% - Accent5" xfId="496"/>
    <cellStyle name="20% - Accent5 10" xfId="497"/>
    <cellStyle name="20% - Accent5 11" xfId="498"/>
    <cellStyle name="20% - Accent5 12" xfId="499"/>
    <cellStyle name="20% - Accent5 13" xfId="500"/>
    <cellStyle name="20% - Accent5 14" xfId="501"/>
    <cellStyle name="20% - Accent5 2" xfId="502"/>
    <cellStyle name="20% - Accent5 3" xfId="503"/>
    <cellStyle name="20% - Accent5 4" xfId="504"/>
    <cellStyle name="20% - Accent5 5" xfId="505"/>
    <cellStyle name="20% - Accent5 6" xfId="506"/>
    <cellStyle name="20% - Accent5 7" xfId="507"/>
    <cellStyle name="20% - Accent5 8" xfId="508"/>
    <cellStyle name="20% - Accent5 9" xfId="509"/>
    <cellStyle name="20% - Accent6" xfId="510"/>
    <cellStyle name="20% - Accent6 10" xfId="511"/>
    <cellStyle name="20% - Accent6 11" xfId="512"/>
    <cellStyle name="20% - Accent6 12" xfId="513"/>
    <cellStyle name="20% - Accent6 13" xfId="514"/>
    <cellStyle name="20% - Accent6 14" xfId="515"/>
    <cellStyle name="20% - Accent6 2" xfId="516"/>
    <cellStyle name="20% - Accent6 3" xfId="517"/>
    <cellStyle name="20% - Accent6 4" xfId="518"/>
    <cellStyle name="20% - Accent6 5" xfId="519"/>
    <cellStyle name="20% - Accent6 6" xfId="520"/>
    <cellStyle name="20% - Accent6 7" xfId="521"/>
    <cellStyle name="20% - Accent6 8" xfId="522"/>
    <cellStyle name="20% - Accent6 9" xfId="523"/>
    <cellStyle name="-2001" xfId="524"/>
    <cellStyle name="296_x000F_Normal_SPTQ1ACTormal_SPTQ2ACT" xfId="525"/>
    <cellStyle name="2ormal_Q2_1" xfId="526"/>
    <cellStyle name="3" xfId="527"/>
    <cellStyle name="3_Bang tong hop khoi luong" xfId="528"/>
    <cellStyle name="3_Bao cao T10" xfId="529"/>
    <cellStyle name="3_Book1" xfId="530"/>
    <cellStyle name="3_Book1_1" xfId="531"/>
    <cellStyle name="3_Book1_1_thong ke cac cap20142015" xfId="532"/>
    <cellStyle name="3_Book1_1_Tiến độ XDCB đến tháng 5 - 2015" xfId="533"/>
    <cellStyle name="3_Book1_BIEU CHI TIEU, NGUYEN TAC PHAN BO" xfId="534"/>
    <cellStyle name="3_Book1_Book1" xfId="535"/>
    <cellStyle name="3_Book1_Du toan KT-TCsua theo TT 03 - YC 471" xfId="536"/>
    <cellStyle name="3_Book1_Du toan Phuong lam" xfId="537"/>
    <cellStyle name="3_Book1_Khoi Luong Hoang Truong - Hoang Phu" xfId="538"/>
    <cellStyle name="3_Book1_Muong TL" xfId="539"/>
    <cellStyle name="3_Book1_Tiến độ XDCB đến tháng 5 - 2015" xfId="540"/>
    <cellStyle name="3_C" xfId="541"/>
    <cellStyle name="3_Cau Hua Trai (TT 04)" xfId="542"/>
    <cellStyle name="3_Cau Km109-108-1" xfId="543"/>
    <cellStyle name="3_Cau Tho Vuc sua25.10.09" xfId="544"/>
    <cellStyle name="3_Cau thuy dien Ban La (Cu Anh)" xfId="545"/>
    <cellStyle name="3_Cau thuy dien Ban La (Cu Anh)_thong ke cac cap20142015" xfId="546"/>
    <cellStyle name="3_Cau thuy dien Ban La (Cu Anh)_Tiến độ XDCB đến tháng 5 - 2015" xfId="547"/>
    <cellStyle name="3_chi tiet T9-06" xfId="548"/>
    <cellStyle name="3_CLDV PSTN 11(1).6" xfId="549"/>
    <cellStyle name="3_CLDV PSTN 2(1).7v1" xfId="550"/>
    <cellStyle name="3_CLDV PSTN 24(1).6" xfId="551"/>
    <cellStyle name="3_cong" xfId="552"/>
    <cellStyle name="3_Copy of hp-1" xfId="553"/>
    <cellStyle name="3_danh sach kh vip" xfId="554"/>
    <cellStyle name="3_DIEN" xfId="555"/>
    <cellStyle name="3_Dinh muc thiet ke" xfId="556"/>
    <cellStyle name="3_Du toan (23-05-2005) Tham dinh" xfId="557"/>
    <cellStyle name="3_Du toan (5 - 04 - 2004)" xfId="558"/>
    <cellStyle name="3_Du toan 558 (Km17+508.12 - Km 22)" xfId="559"/>
    <cellStyle name="3_Du toan 558 (Km17+508.12 - Km 22)_thong ke cac cap20142015" xfId="560"/>
    <cellStyle name="3_Du toan 558 (Km17+508.12 - Km 22)_Tiến độ XDCB đến tháng 5 - 2015" xfId="561"/>
    <cellStyle name="3_Du toan bo sung (11-2004)" xfId="562"/>
    <cellStyle name="3_Du toan Goi 1" xfId="563"/>
    <cellStyle name="3_Du toan Goi 2" xfId="564"/>
    <cellStyle name="3_Du toan KT-TCsua theo TT 03 - YC 471" xfId="565"/>
    <cellStyle name="3_Du toan ngay (28-10-2005)" xfId="566"/>
    <cellStyle name="3_Du toan ngay 1-9-2004 (version 1)" xfId="567"/>
    <cellStyle name="3_Du toan Phuong lam" xfId="568"/>
    <cellStyle name="3_Du toan QL 27 (23-12-2005)" xfId="569"/>
    <cellStyle name="3_Gia_VLQL48_duyet " xfId="570"/>
    <cellStyle name="3_Gia_VLQL48_duyet _thong ke cac cap20142015" xfId="571"/>
    <cellStyle name="3_Gia_VLQL48_duyet _Tiến độ XDCB đến tháng 5 - 2015" xfId="572"/>
    <cellStyle name="3_goi 1" xfId="573"/>
    <cellStyle name="3_Goi 1 (TT04)" xfId="574"/>
    <cellStyle name="3_Goi1N206" xfId="575"/>
    <cellStyle name="3_Goi2N206" xfId="576"/>
    <cellStyle name="3_Goi4N216" xfId="577"/>
    <cellStyle name="3_Goi5N216" xfId="578"/>
    <cellStyle name="3_Hoi Song" xfId="579"/>
    <cellStyle name="3_Khoi luong" xfId="580"/>
    <cellStyle name="3_Khoi luong doan 1" xfId="581"/>
    <cellStyle name="3_Khoi Luong Hoang Truong - Hoang Phu" xfId="582"/>
    <cellStyle name="3_Kl6-6-05" xfId="583"/>
    <cellStyle name="3_Klnutgiao" xfId="584"/>
    <cellStyle name="3_KlQdinhduyet" xfId="585"/>
    <cellStyle name="3_KlQdinhduyet_thong ke cac cap20142015" xfId="586"/>
    <cellStyle name="3_KlQdinhduyet_Tiến độ XDCB đến tháng 5 - 2015" xfId="587"/>
    <cellStyle name="3_KlQL4goi5KCS" xfId="588"/>
    <cellStyle name="3_Kltayth" xfId="589"/>
    <cellStyle name="3_KltaythQDduyet" xfId="590"/>
    <cellStyle name="3_Kluong4-2004" xfId="591"/>
    <cellStyle name="3_Mau BC CLDV PSTN Q2" xfId="592"/>
    <cellStyle name="3_mau thong ke su co" xfId="593"/>
    <cellStyle name="3_maugiacotaluy" xfId="594"/>
    <cellStyle name="3_PSTN 27.5" xfId="595"/>
    <cellStyle name="3_Sheet1" xfId="596"/>
    <cellStyle name="3_t" xfId="597"/>
    <cellStyle name="3_Theo doi vat tu thang 9" xfId="598"/>
    <cellStyle name="3_TienLuong" xfId="599"/>
    <cellStyle name="3_ÿÿÿÿÿ" xfId="600"/>
    <cellStyle name="4" xfId="601"/>
    <cellStyle name="4_Bang tong hop khoi luong" xfId="602"/>
    <cellStyle name="4_Bao cao T10" xfId="603"/>
    <cellStyle name="4_Book1" xfId="604"/>
    <cellStyle name="4_Book1_1" xfId="605"/>
    <cellStyle name="4_Book1_1_thong ke cac cap20142015" xfId="606"/>
    <cellStyle name="4_Book1_1_Tiến độ XDCB đến tháng 5 - 2015" xfId="607"/>
    <cellStyle name="4_Book1_BIEU CHI TIEU, NGUYEN TAC PHAN BO" xfId="608"/>
    <cellStyle name="4_Book1_Book1" xfId="609"/>
    <cellStyle name="4_Book1_Du toan KT-TCsua theo TT 03 - YC 471" xfId="610"/>
    <cellStyle name="4_Book1_Du toan Phuong lam" xfId="611"/>
    <cellStyle name="4_Book1_Khoi Luong Hoang Truong - Hoang Phu" xfId="612"/>
    <cellStyle name="4_Book1_Muong TL" xfId="613"/>
    <cellStyle name="4_Book1_Tiến độ XDCB đến tháng 5 - 2015" xfId="614"/>
    <cellStyle name="4_C" xfId="615"/>
    <cellStyle name="4_Cau Hua Trai (TT 04)" xfId="616"/>
    <cellStyle name="4_Cau Km109-108-1" xfId="617"/>
    <cellStyle name="4_Cau Tho Vuc sua25.10.09" xfId="618"/>
    <cellStyle name="4_Cau thuy dien Ban La (Cu Anh)" xfId="619"/>
    <cellStyle name="4_Cau thuy dien Ban La (Cu Anh)_thong ke cac cap20142015" xfId="620"/>
    <cellStyle name="4_Cau thuy dien Ban La (Cu Anh)_Tiến độ XDCB đến tháng 5 - 2015" xfId="621"/>
    <cellStyle name="4_chi tiet T9-06" xfId="622"/>
    <cellStyle name="4_CLDV PSTN 11(1).6" xfId="623"/>
    <cellStyle name="4_CLDV PSTN 2(1).7v1" xfId="624"/>
    <cellStyle name="4_CLDV PSTN 24(1).6" xfId="625"/>
    <cellStyle name="4_cong" xfId="626"/>
    <cellStyle name="4_Copy of hp-1" xfId="627"/>
    <cellStyle name="4_danh sach kh vip" xfId="628"/>
    <cellStyle name="4_DIEN" xfId="629"/>
    <cellStyle name="4_Dinh muc thiet ke" xfId="630"/>
    <cellStyle name="4_Du toan (23-05-2005) Tham dinh" xfId="631"/>
    <cellStyle name="4_Du toan (5 - 04 - 2004)" xfId="632"/>
    <cellStyle name="4_Du toan 558 (Km17+508.12 - Km 22)" xfId="633"/>
    <cellStyle name="4_Du toan 558 (Km17+508.12 - Km 22)_thong ke cac cap20142015" xfId="634"/>
    <cellStyle name="4_Du toan 558 (Km17+508.12 - Km 22)_Tiến độ XDCB đến tháng 5 - 2015" xfId="635"/>
    <cellStyle name="4_Du toan bo sung (11-2004)" xfId="636"/>
    <cellStyle name="4_Du toan Goi 1" xfId="637"/>
    <cellStyle name="4_Du toan Goi 2" xfId="638"/>
    <cellStyle name="4_Du toan KT-TCsua theo TT 03 - YC 471" xfId="639"/>
    <cellStyle name="4_Du toan ngay (28-10-2005)" xfId="640"/>
    <cellStyle name="4_Du toan ngay 1-9-2004 (version 1)" xfId="641"/>
    <cellStyle name="4_Du toan Phuong lam" xfId="642"/>
    <cellStyle name="4_Du toan QL 27 (23-12-2005)" xfId="643"/>
    <cellStyle name="4_Gia_VLQL48_duyet " xfId="644"/>
    <cellStyle name="4_Gia_VLQL48_duyet _thong ke cac cap20142015" xfId="645"/>
    <cellStyle name="4_Gia_VLQL48_duyet _Tiến độ XDCB đến tháng 5 - 2015" xfId="646"/>
    <cellStyle name="4_goi 1" xfId="647"/>
    <cellStyle name="4_Goi 1 (TT04)" xfId="648"/>
    <cellStyle name="4_Goi1N206" xfId="649"/>
    <cellStyle name="4_Goi2N206" xfId="650"/>
    <cellStyle name="4_Goi4N216" xfId="651"/>
    <cellStyle name="4_Goi5N216" xfId="652"/>
    <cellStyle name="4_Hoi Song" xfId="653"/>
    <cellStyle name="4_Khoi luong" xfId="654"/>
    <cellStyle name="4_Khoi luong doan 1" xfId="655"/>
    <cellStyle name="4_Khoi Luong Hoang Truong - Hoang Phu" xfId="656"/>
    <cellStyle name="4_Kl6-6-05" xfId="657"/>
    <cellStyle name="4_Klnutgiao" xfId="658"/>
    <cellStyle name="4_KlQdinhduyet" xfId="659"/>
    <cellStyle name="4_KlQdinhduyet_thong ke cac cap20142015" xfId="660"/>
    <cellStyle name="4_KlQdinhduyet_Tiến độ XDCB đến tháng 5 - 2015" xfId="661"/>
    <cellStyle name="4_KlQL4goi5KCS" xfId="662"/>
    <cellStyle name="4_Kltayth" xfId="663"/>
    <cellStyle name="4_KltaythQDduyet" xfId="664"/>
    <cellStyle name="4_Kluong4-2004" xfId="665"/>
    <cellStyle name="4_Mau BC CLDV PSTN Q2" xfId="666"/>
    <cellStyle name="4_mau thong ke su co" xfId="667"/>
    <cellStyle name="4_maugiacotaluy" xfId="668"/>
    <cellStyle name="4_PSTN 27.5" xfId="669"/>
    <cellStyle name="4_Sheet1" xfId="670"/>
    <cellStyle name="4_t" xfId="671"/>
    <cellStyle name="4_Theo doi vat tu thang 9" xfId="672"/>
    <cellStyle name="4_ÿÿÿÿÿ" xfId="673"/>
    <cellStyle name="40% - Accent1" xfId="674"/>
    <cellStyle name="40% - Accent1 10" xfId="675"/>
    <cellStyle name="40% - Accent1 11" xfId="676"/>
    <cellStyle name="40% - Accent1 12" xfId="677"/>
    <cellStyle name="40% - Accent1 13" xfId="678"/>
    <cellStyle name="40% - Accent1 14" xfId="679"/>
    <cellStyle name="40% - Accent1 2" xfId="680"/>
    <cellStyle name="40% - Accent1 3" xfId="681"/>
    <cellStyle name="40% - Accent1 4" xfId="682"/>
    <cellStyle name="40% - Accent1 5" xfId="683"/>
    <cellStyle name="40% - Accent1 6" xfId="684"/>
    <cellStyle name="40% - Accent1 7" xfId="685"/>
    <cellStyle name="40% - Accent1 8" xfId="686"/>
    <cellStyle name="40% - Accent1 9" xfId="687"/>
    <cellStyle name="40% - Accent2" xfId="688"/>
    <cellStyle name="40% - Accent2 10" xfId="689"/>
    <cellStyle name="40% - Accent2 11" xfId="690"/>
    <cellStyle name="40% - Accent2 12" xfId="691"/>
    <cellStyle name="40% - Accent2 13" xfId="692"/>
    <cellStyle name="40% - Accent2 14" xfId="693"/>
    <cellStyle name="40% - Accent2 2" xfId="694"/>
    <cellStyle name="40% - Accent2 3" xfId="695"/>
    <cellStyle name="40% - Accent2 4" xfId="696"/>
    <cellStyle name="40% - Accent2 5" xfId="697"/>
    <cellStyle name="40% - Accent2 6" xfId="698"/>
    <cellStyle name="40% - Accent2 7" xfId="699"/>
    <cellStyle name="40% - Accent2 8" xfId="700"/>
    <cellStyle name="40% - Accent2 9" xfId="701"/>
    <cellStyle name="40% - Accent3" xfId="702"/>
    <cellStyle name="40% - Accent3 10" xfId="703"/>
    <cellStyle name="40% - Accent3 11" xfId="704"/>
    <cellStyle name="40% - Accent3 12" xfId="705"/>
    <cellStyle name="40% - Accent3 13" xfId="706"/>
    <cellStyle name="40% - Accent3 14" xfId="707"/>
    <cellStyle name="40% - Accent3 2" xfId="708"/>
    <cellStyle name="40% - Accent3 3" xfId="709"/>
    <cellStyle name="40% - Accent3 4" xfId="710"/>
    <cellStyle name="40% - Accent3 5" xfId="711"/>
    <cellStyle name="40% - Accent3 6" xfId="712"/>
    <cellStyle name="40% - Accent3 7" xfId="713"/>
    <cellStyle name="40% - Accent3 8" xfId="714"/>
    <cellStyle name="40% - Accent3 9" xfId="715"/>
    <cellStyle name="40% - Accent4" xfId="716"/>
    <cellStyle name="40% - Accent4 10" xfId="717"/>
    <cellStyle name="40% - Accent4 11" xfId="718"/>
    <cellStyle name="40% - Accent4 12" xfId="719"/>
    <cellStyle name="40% - Accent4 13" xfId="720"/>
    <cellStyle name="40% - Accent4 14" xfId="721"/>
    <cellStyle name="40% - Accent4 2" xfId="722"/>
    <cellStyle name="40% - Accent4 3" xfId="723"/>
    <cellStyle name="40% - Accent4 4" xfId="724"/>
    <cellStyle name="40% - Accent4 5" xfId="725"/>
    <cellStyle name="40% - Accent4 6" xfId="726"/>
    <cellStyle name="40% - Accent4 7" xfId="727"/>
    <cellStyle name="40% - Accent4 8" xfId="728"/>
    <cellStyle name="40% - Accent4 9" xfId="729"/>
    <cellStyle name="40% - Accent5" xfId="730"/>
    <cellStyle name="40% - Accent5 10" xfId="731"/>
    <cellStyle name="40% - Accent5 11" xfId="732"/>
    <cellStyle name="40% - Accent5 12" xfId="733"/>
    <cellStyle name="40% - Accent5 13" xfId="734"/>
    <cellStyle name="40% - Accent5 14" xfId="735"/>
    <cellStyle name="40% - Accent5 2" xfId="736"/>
    <cellStyle name="40% - Accent5 3" xfId="737"/>
    <cellStyle name="40% - Accent5 4" xfId="738"/>
    <cellStyle name="40% - Accent5 5" xfId="739"/>
    <cellStyle name="40% - Accent5 6" xfId="740"/>
    <cellStyle name="40% - Accent5 7" xfId="741"/>
    <cellStyle name="40% - Accent5 8" xfId="742"/>
    <cellStyle name="40% - Accent5 9" xfId="743"/>
    <cellStyle name="40% - Accent6" xfId="744"/>
    <cellStyle name="40% - Accent6 10" xfId="745"/>
    <cellStyle name="40% - Accent6 11" xfId="746"/>
    <cellStyle name="40% - Accent6 12" xfId="747"/>
    <cellStyle name="40% - Accent6 13" xfId="748"/>
    <cellStyle name="40% - Accent6 14" xfId="749"/>
    <cellStyle name="40% - Accent6 2" xfId="750"/>
    <cellStyle name="40% - Accent6 3" xfId="751"/>
    <cellStyle name="40% - Accent6 4" xfId="752"/>
    <cellStyle name="40% - Accent6 5" xfId="753"/>
    <cellStyle name="40% - Accent6 6" xfId="754"/>
    <cellStyle name="40% - Accent6 7" xfId="755"/>
    <cellStyle name="40% - Accent6 8" xfId="756"/>
    <cellStyle name="40% - Accent6 9" xfId="757"/>
    <cellStyle name="6" xfId="758"/>
    <cellStyle name="6_Bieu bao cao von TPCP gd 2003-2010(18.5)" xfId="759"/>
    <cellStyle name="6_tongket2003-2010 Kg Vu DP" xfId="760"/>
    <cellStyle name="60% - Accent1" xfId="761"/>
    <cellStyle name="60% - Accent1 10" xfId="762"/>
    <cellStyle name="60% - Accent1 11" xfId="763"/>
    <cellStyle name="60% - Accent1 12" xfId="764"/>
    <cellStyle name="60% - Accent1 13" xfId="765"/>
    <cellStyle name="60% - Accent1 14" xfId="766"/>
    <cellStyle name="60% - Accent1 2" xfId="767"/>
    <cellStyle name="60% - Accent1 3" xfId="768"/>
    <cellStyle name="60% - Accent1 4" xfId="769"/>
    <cellStyle name="60% - Accent1 5" xfId="770"/>
    <cellStyle name="60% - Accent1 6" xfId="771"/>
    <cellStyle name="60% - Accent1 7" xfId="772"/>
    <cellStyle name="60% - Accent1 8" xfId="773"/>
    <cellStyle name="60% - Accent1 9" xfId="774"/>
    <cellStyle name="60% - Accent2" xfId="775"/>
    <cellStyle name="60% - Accent2 10" xfId="776"/>
    <cellStyle name="60% - Accent2 11" xfId="777"/>
    <cellStyle name="60% - Accent2 12" xfId="778"/>
    <cellStyle name="60% - Accent2 13" xfId="779"/>
    <cellStyle name="60% - Accent2 14" xfId="780"/>
    <cellStyle name="60% - Accent2 2" xfId="781"/>
    <cellStyle name="60% - Accent2 3" xfId="782"/>
    <cellStyle name="60% - Accent2 4" xfId="783"/>
    <cellStyle name="60% - Accent2 5" xfId="784"/>
    <cellStyle name="60% - Accent2 6" xfId="785"/>
    <cellStyle name="60% - Accent2 7" xfId="786"/>
    <cellStyle name="60% - Accent2 8" xfId="787"/>
    <cellStyle name="60% - Accent2 9" xfId="788"/>
    <cellStyle name="60% - Accent3" xfId="789"/>
    <cellStyle name="60% - Accent3 10" xfId="790"/>
    <cellStyle name="60% - Accent3 11" xfId="791"/>
    <cellStyle name="60% - Accent3 12" xfId="792"/>
    <cellStyle name="60% - Accent3 13" xfId="793"/>
    <cellStyle name="60% - Accent3 14" xfId="794"/>
    <cellStyle name="60% - Accent3 2" xfId="795"/>
    <cellStyle name="60% - Accent3 3" xfId="796"/>
    <cellStyle name="60% - Accent3 4" xfId="797"/>
    <cellStyle name="60% - Accent3 5" xfId="798"/>
    <cellStyle name="60% - Accent3 6" xfId="799"/>
    <cellStyle name="60% - Accent3 7" xfId="800"/>
    <cellStyle name="60% - Accent3 8" xfId="801"/>
    <cellStyle name="60% - Accent3 9" xfId="802"/>
    <cellStyle name="60% - Accent4" xfId="803"/>
    <cellStyle name="60% - Accent4 10" xfId="804"/>
    <cellStyle name="60% - Accent4 11" xfId="805"/>
    <cellStyle name="60% - Accent4 12" xfId="806"/>
    <cellStyle name="60% - Accent4 13" xfId="807"/>
    <cellStyle name="60% - Accent4 14" xfId="808"/>
    <cellStyle name="60% - Accent4 2" xfId="809"/>
    <cellStyle name="60% - Accent4 3" xfId="810"/>
    <cellStyle name="60% - Accent4 4" xfId="811"/>
    <cellStyle name="60% - Accent4 5" xfId="812"/>
    <cellStyle name="60% - Accent4 6" xfId="813"/>
    <cellStyle name="60% - Accent4 7" xfId="814"/>
    <cellStyle name="60% - Accent4 8" xfId="815"/>
    <cellStyle name="60% - Accent4 9" xfId="816"/>
    <cellStyle name="60% - Accent5" xfId="817"/>
    <cellStyle name="60% - Accent5 10" xfId="818"/>
    <cellStyle name="60% - Accent5 11" xfId="819"/>
    <cellStyle name="60% - Accent5 12" xfId="820"/>
    <cellStyle name="60% - Accent5 13" xfId="821"/>
    <cellStyle name="60% - Accent5 14" xfId="822"/>
    <cellStyle name="60% - Accent5 2" xfId="823"/>
    <cellStyle name="60% - Accent5 3" xfId="824"/>
    <cellStyle name="60% - Accent5 4" xfId="825"/>
    <cellStyle name="60% - Accent5 5" xfId="826"/>
    <cellStyle name="60% - Accent5 6" xfId="827"/>
    <cellStyle name="60% - Accent5 7" xfId="828"/>
    <cellStyle name="60% - Accent5 8" xfId="829"/>
    <cellStyle name="60% - Accent5 9" xfId="830"/>
    <cellStyle name="60% - Accent6" xfId="831"/>
    <cellStyle name="60% - Accent6 10" xfId="832"/>
    <cellStyle name="60% - Accent6 11" xfId="833"/>
    <cellStyle name="60% - Accent6 12" xfId="834"/>
    <cellStyle name="60% - Accent6 13" xfId="835"/>
    <cellStyle name="60% - Accent6 14" xfId="836"/>
    <cellStyle name="60% - Accent6 2" xfId="837"/>
    <cellStyle name="60% - Accent6 3" xfId="838"/>
    <cellStyle name="60% - Accent6 4" xfId="839"/>
    <cellStyle name="60% - Accent6 5" xfId="840"/>
    <cellStyle name="60% - Accent6 6" xfId="841"/>
    <cellStyle name="60% - Accent6 7" xfId="842"/>
    <cellStyle name="60% - Accent6 8" xfId="843"/>
    <cellStyle name="60% - Accent6 9" xfId="844"/>
    <cellStyle name="9" xfId="845"/>
    <cellStyle name="Accent1" xfId="846"/>
    <cellStyle name="Accent1 10" xfId="847"/>
    <cellStyle name="Accent1 11" xfId="848"/>
    <cellStyle name="Accent1 12" xfId="849"/>
    <cellStyle name="Accent1 13" xfId="850"/>
    <cellStyle name="Accent1 14" xfId="851"/>
    <cellStyle name="Accent1 2" xfId="852"/>
    <cellStyle name="Accent1 3" xfId="853"/>
    <cellStyle name="Accent1 4" xfId="854"/>
    <cellStyle name="Accent1 5" xfId="855"/>
    <cellStyle name="Accent1 6" xfId="856"/>
    <cellStyle name="Accent1 7" xfId="857"/>
    <cellStyle name="Accent1 8" xfId="858"/>
    <cellStyle name="Accent1 9" xfId="859"/>
    <cellStyle name="Accent2" xfId="860"/>
    <cellStyle name="Accent2 10" xfId="861"/>
    <cellStyle name="Accent2 11" xfId="862"/>
    <cellStyle name="Accent2 12" xfId="863"/>
    <cellStyle name="Accent2 13" xfId="864"/>
    <cellStyle name="Accent2 14" xfId="865"/>
    <cellStyle name="Accent2 2" xfId="866"/>
    <cellStyle name="Accent2 3" xfId="867"/>
    <cellStyle name="Accent2 4" xfId="868"/>
    <cellStyle name="Accent2 5" xfId="869"/>
    <cellStyle name="Accent2 6" xfId="870"/>
    <cellStyle name="Accent2 7" xfId="871"/>
    <cellStyle name="Accent2 8" xfId="872"/>
    <cellStyle name="Accent2 9" xfId="873"/>
    <cellStyle name="Accent3" xfId="874"/>
    <cellStyle name="Accent3 10" xfId="875"/>
    <cellStyle name="Accent3 11" xfId="876"/>
    <cellStyle name="Accent3 12" xfId="877"/>
    <cellStyle name="Accent3 13" xfId="878"/>
    <cellStyle name="Accent3 14" xfId="879"/>
    <cellStyle name="Accent3 2" xfId="880"/>
    <cellStyle name="Accent3 3" xfId="881"/>
    <cellStyle name="Accent3 4" xfId="882"/>
    <cellStyle name="Accent3 5" xfId="883"/>
    <cellStyle name="Accent3 6" xfId="884"/>
    <cellStyle name="Accent3 7" xfId="885"/>
    <cellStyle name="Accent3 8" xfId="886"/>
    <cellStyle name="Accent3 9" xfId="887"/>
    <cellStyle name="Accent4" xfId="888"/>
    <cellStyle name="Accent4 10" xfId="889"/>
    <cellStyle name="Accent4 11" xfId="890"/>
    <cellStyle name="Accent4 12" xfId="891"/>
    <cellStyle name="Accent4 13" xfId="892"/>
    <cellStyle name="Accent4 14" xfId="893"/>
    <cellStyle name="Accent4 2" xfId="894"/>
    <cellStyle name="Accent4 3" xfId="895"/>
    <cellStyle name="Accent4 4" xfId="896"/>
    <cellStyle name="Accent4 5" xfId="897"/>
    <cellStyle name="Accent4 6" xfId="898"/>
    <cellStyle name="Accent4 7" xfId="899"/>
    <cellStyle name="Accent4 8" xfId="900"/>
    <cellStyle name="Accent4 9" xfId="901"/>
    <cellStyle name="Accent5" xfId="902"/>
    <cellStyle name="Accent5 10" xfId="903"/>
    <cellStyle name="Accent5 11" xfId="904"/>
    <cellStyle name="Accent5 12" xfId="905"/>
    <cellStyle name="Accent5 13" xfId="906"/>
    <cellStyle name="Accent5 14" xfId="907"/>
    <cellStyle name="Accent5 2" xfId="908"/>
    <cellStyle name="Accent5 3" xfId="909"/>
    <cellStyle name="Accent5 4" xfId="910"/>
    <cellStyle name="Accent5 5" xfId="911"/>
    <cellStyle name="Accent5 6" xfId="912"/>
    <cellStyle name="Accent5 7" xfId="913"/>
    <cellStyle name="Accent5 8" xfId="914"/>
    <cellStyle name="Accent5 9" xfId="915"/>
    <cellStyle name="Accent6" xfId="916"/>
    <cellStyle name="Accent6 10" xfId="917"/>
    <cellStyle name="Accent6 11" xfId="918"/>
    <cellStyle name="Accent6 12" xfId="919"/>
    <cellStyle name="Accent6 13" xfId="920"/>
    <cellStyle name="Accent6 14" xfId="921"/>
    <cellStyle name="Accent6 2" xfId="922"/>
    <cellStyle name="Accent6 3" xfId="923"/>
    <cellStyle name="Accent6 4" xfId="924"/>
    <cellStyle name="Accent6 5" xfId="925"/>
    <cellStyle name="Accent6 6" xfId="926"/>
    <cellStyle name="Accent6 7" xfId="927"/>
    <cellStyle name="Accent6 8" xfId="928"/>
    <cellStyle name="Accent6 9" xfId="929"/>
    <cellStyle name="ÅëÈ­ [0]_      " xfId="930"/>
    <cellStyle name="AeE­ [0]_INQUIRY ¿?¾÷AßAø " xfId="931"/>
    <cellStyle name="ÅëÈ­ [0]_L601CPT" xfId="932"/>
    <cellStyle name="ÅëÈ­_      " xfId="933"/>
    <cellStyle name="AeE­_INQUIRY ¿?¾÷AßAø " xfId="934"/>
    <cellStyle name="ÅëÈ­_L601CPT" xfId="935"/>
    <cellStyle name="args.style" xfId="936"/>
    <cellStyle name="at" xfId="937"/>
    <cellStyle name="ÄÞ¸¶ [0]_      " xfId="938"/>
    <cellStyle name="AÞ¸¶ [0]_INQUIRY ¿?¾÷AßAø " xfId="939"/>
    <cellStyle name="ÄÞ¸¶ [0]_L601CPT" xfId="940"/>
    <cellStyle name="ÄÞ¸¶_      " xfId="941"/>
    <cellStyle name="AÞ¸¶_INQUIRY ¿?¾÷AßAø " xfId="942"/>
    <cellStyle name="ÄÞ¸¶_L601CPT" xfId="943"/>
    <cellStyle name="AutoFormat Options" xfId="944"/>
    <cellStyle name="Bad" xfId="945"/>
    <cellStyle name="Bad 10" xfId="946"/>
    <cellStyle name="Bad 11" xfId="947"/>
    <cellStyle name="Bad 12" xfId="948"/>
    <cellStyle name="Bad 13" xfId="949"/>
    <cellStyle name="Bad 14" xfId="950"/>
    <cellStyle name="Bad 2" xfId="951"/>
    <cellStyle name="Bad 3" xfId="952"/>
    <cellStyle name="Bad 4" xfId="953"/>
    <cellStyle name="Bad 5" xfId="954"/>
    <cellStyle name="Bad 6" xfId="955"/>
    <cellStyle name="Bad 7" xfId="956"/>
    <cellStyle name="Bad 8" xfId="957"/>
    <cellStyle name="Bad 9" xfId="958"/>
    <cellStyle name="Bangchu" xfId="959"/>
    <cellStyle name="Body" xfId="960"/>
    <cellStyle name="C?AØ_¿?¾÷CoE² " xfId="961"/>
    <cellStyle name="C~1" xfId="962"/>
    <cellStyle name="Ç¥ÁØ_      " xfId="963"/>
    <cellStyle name="C￥AØ_¿μ¾÷CoE² " xfId="964"/>
    <cellStyle name="Ç¥ÁØ_±¸¹Ì´ëÃ¥" xfId="965"/>
    <cellStyle name="C￥AØ_Sheet1_¿μ¾÷CoE² " xfId="966"/>
    <cellStyle name="Ç¥ÁØ_ÿÿÿÿÿÿ_4_ÃÑÇÕ°è " xfId="967"/>
    <cellStyle name="Calc Currency (0)" xfId="968"/>
    <cellStyle name="Calc Currency (2)" xfId="969"/>
    <cellStyle name="Calc Percent (0)" xfId="970"/>
    <cellStyle name="Calc Percent (1)" xfId="971"/>
    <cellStyle name="Calc Percent (2)" xfId="972"/>
    <cellStyle name="Calc Units (0)" xfId="973"/>
    <cellStyle name="Calc Units (1)" xfId="974"/>
    <cellStyle name="Calc Units (2)" xfId="975"/>
    <cellStyle name="Calculation" xfId="976"/>
    <cellStyle name="Calculation 10" xfId="977"/>
    <cellStyle name="Calculation 11" xfId="978"/>
    <cellStyle name="Calculation 12" xfId="979"/>
    <cellStyle name="Calculation 13" xfId="980"/>
    <cellStyle name="Calculation 14" xfId="981"/>
    <cellStyle name="Calculation 2" xfId="982"/>
    <cellStyle name="Calculation 3" xfId="983"/>
    <cellStyle name="Calculation 4" xfId="984"/>
    <cellStyle name="Calculation 5" xfId="985"/>
    <cellStyle name="Calculation 6" xfId="986"/>
    <cellStyle name="Calculation 7" xfId="987"/>
    <cellStyle name="Calculation 8" xfId="988"/>
    <cellStyle name="Calculation 9" xfId="989"/>
    <cellStyle name="category" xfId="990"/>
    <cellStyle name="Cerrency_Sheet2_XANGDAU" xfId="991"/>
    <cellStyle name="Check Cell" xfId="992"/>
    <cellStyle name="Check Cell 10" xfId="993"/>
    <cellStyle name="Check Cell 11" xfId="994"/>
    <cellStyle name="Check Cell 12" xfId="995"/>
    <cellStyle name="Check Cell 13" xfId="996"/>
    <cellStyle name="Check Cell 14" xfId="997"/>
    <cellStyle name="Check Cell 2" xfId="998"/>
    <cellStyle name="Check Cell 3" xfId="999"/>
    <cellStyle name="Check Cell 4" xfId="1000"/>
    <cellStyle name="Check Cell 5" xfId="1001"/>
    <cellStyle name="Check Cell 6" xfId="1002"/>
    <cellStyle name="Check Cell 7" xfId="1003"/>
    <cellStyle name="Check Cell 8" xfId="1004"/>
    <cellStyle name="Check Cell 9" xfId="1005"/>
    <cellStyle name="Chi phÝ kh¸c_Book1" xfId="1006"/>
    <cellStyle name="CHUONG" xfId="1007"/>
    <cellStyle name="Col Heads" xfId="1008"/>
    <cellStyle name="Comma" xfId="1009"/>
    <cellStyle name="Comma  - Style1" xfId="1010"/>
    <cellStyle name="Comma  - Style2" xfId="1011"/>
    <cellStyle name="Comma  - Style3" xfId="1012"/>
    <cellStyle name="Comma  - Style4" xfId="1013"/>
    <cellStyle name="Comma  - Style5" xfId="1014"/>
    <cellStyle name="Comma  - Style6" xfId="1015"/>
    <cellStyle name="Comma  - Style7" xfId="1016"/>
    <cellStyle name="Comma  - Style8" xfId="1017"/>
    <cellStyle name="Comma [0]" xfId="1018"/>
    <cellStyle name="Comma [0] 2" xfId="1019"/>
    <cellStyle name="Comma [0] 3" xfId="1020"/>
    <cellStyle name="Comma [0] 4" xfId="1021"/>
    <cellStyle name="Comma [0] 5" xfId="1022"/>
    <cellStyle name="Comma [0] 6" xfId="1023"/>
    <cellStyle name="Comma [00]" xfId="1024"/>
    <cellStyle name="Comma 10" xfId="1025"/>
    <cellStyle name="Comma 10 10 2 10" xfId="1026"/>
    <cellStyle name="Comma 10 10 2 2" xfId="1027"/>
    <cellStyle name="Comma 10 10 2 2 2" xfId="1028"/>
    <cellStyle name="Comma 10 10 2 2 3" xfId="1029"/>
    <cellStyle name="Comma 10 10 2 2 4" xfId="1030"/>
    <cellStyle name="Comma 10 10 2 2 5" xfId="1031"/>
    <cellStyle name="Comma 10 10 2 3 4" xfId="1032"/>
    <cellStyle name="Comma 10 2" xfId="1033"/>
    <cellStyle name="Comma 10 3" xfId="1034"/>
    <cellStyle name="Comma 11" xfId="1035"/>
    <cellStyle name="Comma 12" xfId="1036"/>
    <cellStyle name="Comma 13" xfId="1037"/>
    <cellStyle name="Comma 13 5" xfId="1038"/>
    <cellStyle name="Comma 14" xfId="1039"/>
    <cellStyle name="Comma 14 2" xfId="1040"/>
    <cellStyle name="Comma 15" xfId="1041"/>
    <cellStyle name="Comma 16" xfId="1042"/>
    <cellStyle name="Comma 17" xfId="1043"/>
    <cellStyle name="Comma 18" xfId="1044"/>
    <cellStyle name="Comma 19" xfId="1045"/>
    <cellStyle name="Comma 2" xfId="1046"/>
    <cellStyle name="Comma 2 10" xfId="1047"/>
    <cellStyle name="Comma 2 11" xfId="1048"/>
    <cellStyle name="Comma 2 12" xfId="1049"/>
    <cellStyle name="Comma 2 13" xfId="1050"/>
    <cellStyle name="Comma 2 14" xfId="1051"/>
    <cellStyle name="Comma 2 15" xfId="1052"/>
    <cellStyle name="Comma 2 2" xfId="1053"/>
    <cellStyle name="Comma 2 2 10" xfId="1054"/>
    <cellStyle name="Comma 2 2 11" xfId="1055"/>
    <cellStyle name="Comma 2 2 12" xfId="1056"/>
    <cellStyle name="Comma 2 2 13" xfId="1057"/>
    <cellStyle name="Comma 2 2 14" xfId="1058"/>
    <cellStyle name="Comma 2 2 15" xfId="1059"/>
    <cellStyle name="Comma 2 2 2" xfId="1060"/>
    <cellStyle name="Comma 2 2 3" xfId="1061"/>
    <cellStyle name="Comma 2 2 4" xfId="1062"/>
    <cellStyle name="Comma 2 2 5" xfId="1063"/>
    <cellStyle name="Comma 2 2 6" xfId="1064"/>
    <cellStyle name="Comma 2 2 7" xfId="1065"/>
    <cellStyle name="Comma 2 2 8" xfId="1066"/>
    <cellStyle name="Comma 2 2 9" xfId="1067"/>
    <cellStyle name="Comma 2 3" xfId="1068"/>
    <cellStyle name="Comma 2 3 2" xfId="1069"/>
    <cellStyle name="Comma 2 3 3" xfId="1070"/>
    <cellStyle name="Comma 2 4" xfId="1071"/>
    <cellStyle name="Comma 2 5" xfId="1072"/>
    <cellStyle name="Comma 2 6" xfId="1073"/>
    <cellStyle name="Comma 2 6 2" xfId="1074"/>
    <cellStyle name="Comma 2 7" xfId="1075"/>
    <cellStyle name="Comma 2 8" xfId="1076"/>
    <cellStyle name="Comma 2 9" xfId="1077"/>
    <cellStyle name="Comma 2_1.KH gõ lại KH 2015 lam BC 135 Phat hanh" xfId="1078"/>
    <cellStyle name="Comma 20" xfId="1079"/>
    <cellStyle name="Comma 21" xfId="1080"/>
    <cellStyle name="Comma 22" xfId="1081"/>
    <cellStyle name="Comma 23" xfId="1082"/>
    <cellStyle name="Comma 24" xfId="1083"/>
    <cellStyle name="Comma 25" xfId="1084"/>
    <cellStyle name="Comma 26" xfId="1085"/>
    <cellStyle name="Comma 27" xfId="1086"/>
    <cellStyle name="Comma 28" xfId="1087"/>
    <cellStyle name="Comma 29" xfId="1088"/>
    <cellStyle name="Comma 3" xfId="1089"/>
    <cellStyle name="Comma 3 2" xfId="1090"/>
    <cellStyle name="Comma 3 2 2" xfId="1091"/>
    <cellStyle name="Comma 3 3" xfId="1092"/>
    <cellStyle name="Comma 3 4" xfId="1093"/>
    <cellStyle name="Comma 3 5" xfId="1094"/>
    <cellStyle name="Comma 3_Quyet dinh giao 2014" xfId="1095"/>
    <cellStyle name="Comma 30" xfId="1096"/>
    <cellStyle name="Comma 31" xfId="1097"/>
    <cellStyle name="Comma 32" xfId="1098"/>
    <cellStyle name="Comma 33" xfId="1099"/>
    <cellStyle name="Comma 34" xfId="1100"/>
    <cellStyle name="Comma 35" xfId="1101"/>
    <cellStyle name="Comma 36" xfId="1102"/>
    <cellStyle name="Comma 37" xfId="1103"/>
    <cellStyle name="Comma 38" xfId="1104"/>
    <cellStyle name="Comma 39" xfId="1105"/>
    <cellStyle name="Comma 39 2" xfId="1106"/>
    <cellStyle name="Comma 4" xfId="1107"/>
    <cellStyle name="Comma 40" xfId="1108"/>
    <cellStyle name="Comma 41" xfId="1109"/>
    <cellStyle name="Comma 42" xfId="1110"/>
    <cellStyle name="Comma 43" xfId="1111"/>
    <cellStyle name="Comma 44" xfId="1112"/>
    <cellStyle name="Comma 45" xfId="1113"/>
    <cellStyle name="Comma 46" xfId="1114"/>
    <cellStyle name="Comma 47" xfId="1115"/>
    <cellStyle name="Comma 48" xfId="1116"/>
    <cellStyle name="Comma 49" xfId="1117"/>
    <cellStyle name="Comma 5" xfId="1118"/>
    <cellStyle name="Comma 50" xfId="1119"/>
    <cellStyle name="Comma 50 2" xfId="1120"/>
    <cellStyle name="Comma 51" xfId="1121"/>
    <cellStyle name="Comma 52" xfId="1122"/>
    <cellStyle name="Comma 53" xfId="1123"/>
    <cellStyle name="Comma 54" xfId="1124"/>
    <cellStyle name="Comma 55" xfId="1125"/>
    <cellStyle name="Comma 56" xfId="1126"/>
    <cellStyle name="Comma 57" xfId="1127"/>
    <cellStyle name="Comma 58" xfId="1128"/>
    <cellStyle name="Comma 59" xfId="1129"/>
    <cellStyle name="Comma 6" xfId="1130"/>
    <cellStyle name="Comma 6 2" xfId="1131"/>
    <cellStyle name="Comma 6_BIEU CHI TIEU, NGUYEN TAC PHAN BO" xfId="1132"/>
    <cellStyle name="Comma 60" xfId="1133"/>
    <cellStyle name="Comma 61" xfId="1134"/>
    <cellStyle name="Comma 62" xfId="1135"/>
    <cellStyle name="Comma 63" xfId="1136"/>
    <cellStyle name="Comma 64" xfId="1137"/>
    <cellStyle name="Comma 65" xfId="1138"/>
    <cellStyle name="Comma 66" xfId="1139"/>
    <cellStyle name="Comma 67" xfId="1140"/>
    <cellStyle name="Comma 68" xfId="1141"/>
    <cellStyle name="Comma 69" xfId="1142"/>
    <cellStyle name="Comma 7" xfId="1143"/>
    <cellStyle name="Comma 70" xfId="1144"/>
    <cellStyle name="Comma 71" xfId="1145"/>
    <cellStyle name="Comma 72" xfId="1146"/>
    <cellStyle name="Comma 73" xfId="1147"/>
    <cellStyle name="Comma 8" xfId="1148"/>
    <cellStyle name="Comma 8 2" xfId="1149"/>
    <cellStyle name="Comma 9" xfId="1150"/>
    <cellStyle name="comma zerodec" xfId="1151"/>
    <cellStyle name="Comma,0" xfId="1152"/>
    <cellStyle name="Comma,1" xfId="1153"/>
    <cellStyle name="Comma,2" xfId="1154"/>
    <cellStyle name="Comma0" xfId="1155"/>
    <cellStyle name="cong" xfId="1156"/>
    <cellStyle name="Copied" xfId="1157"/>
    <cellStyle name="COST1" xfId="1158"/>
    <cellStyle name="Cࡵrrency_Sheet1_PRODUCTĠ" xfId="1159"/>
    <cellStyle name="Currency" xfId="1160"/>
    <cellStyle name="Currency [0]" xfId="1161"/>
    <cellStyle name="Currency [00]" xfId="1162"/>
    <cellStyle name="Currency 2" xfId="1163"/>
    <cellStyle name="Currency 2 2" xfId="1164"/>
    <cellStyle name="Currency 3" xfId="1165"/>
    <cellStyle name="Currency,0" xfId="1166"/>
    <cellStyle name="Currency,2" xfId="1167"/>
    <cellStyle name="Currency0" xfId="1168"/>
    <cellStyle name="Currency1" xfId="1169"/>
    <cellStyle name="D1" xfId="1170"/>
    <cellStyle name="Dan" xfId="1171"/>
    <cellStyle name="Date" xfId="1172"/>
    <cellStyle name="Date Short" xfId="1173"/>
    <cellStyle name="Date_Book1" xfId="1174"/>
    <cellStyle name="daude" xfId="1175"/>
    <cellStyle name="Dezimal [0]_35ERI8T2gbIEMixb4v26icuOo" xfId="1176"/>
    <cellStyle name="Dezimal_35ERI8T2gbIEMixb4v26icuOo" xfId="1177"/>
    <cellStyle name="Dg" xfId="1178"/>
    <cellStyle name="Dgia" xfId="1179"/>
    <cellStyle name="Dollar (zero dec)" xfId="1180"/>
    <cellStyle name="Don gia" xfId="1181"/>
    <cellStyle name="Dung" xfId="1182"/>
    <cellStyle name="Dziesi?tny [0]_Invoices2001Slovakia" xfId="1183"/>
    <cellStyle name="Dziesi?tny_Invoices2001Slovakia" xfId="1184"/>
    <cellStyle name="Dziesietny [0]_Invoices2001Slovakia" xfId="1185"/>
    <cellStyle name="Dziesiętny [0]_Invoices2001Slovakia" xfId="1186"/>
    <cellStyle name="Dziesietny [0]_Invoices2001Slovakia_01_Nha so 1_Dien" xfId="1187"/>
    <cellStyle name="Dziesiętny [0]_Invoices2001Slovakia_01_Nha so 1_Dien" xfId="1188"/>
    <cellStyle name="Dziesietny [0]_Invoices2001Slovakia_10_Nha so 10_Dien1" xfId="1189"/>
    <cellStyle name="Dziesiętny [0]_Invoices2001Slovakia_10_Nha so 10_Dien1" xfId="1190"/>
    <cellStyle name="Dziesietny [0]_Invoices2001Slovakia_Bieu bao cao von TPCP gd 2003-2010(18.5)" xfId="1191"/>
    <cellStyle name="Dziesiętny [0]_Invoices2001Slovakia_Book1" xfId="1192"/>
    <cellStyle name="Dziesietny [0]_Invoices2001Slovakia_Book1_1" xfId="1193"/>
    <cellStyle name="Dziesiętny [0]_Invoices2001Slovakia_Book1_1" xfId="1194"/>
    <cellStyle name="Dziesietny [0]_Invoices2001Slovakia_Book1_1_Book1" xfId="1195"/>
    <cellStyle name="Dziesiętny [0]_Invoices2001Slovakia_Book1_1_Book1" xfId="1196"/>
    <cellStyle name="Dziesietny [0]_Invoices2001Slovakia_Book1_2" xfId="1197"/>
    <cellStyle name="Dziesiętny [0]_Invoices2001Slovakia_Book1_2" xfId="1198"/>
    <cellStyle name="Dziesietny [0]_Invoices2001Slovakia_Book1_Nhu cau von ung truoc 2011 Tha h Hoa + Nge An gui TW" xfId="1199"/>
    <cellStyle name="Dziesiętny [0]_Invoices2001Slovakia_Book1_Nhu cau von ung truoc 2011 Tha h Hoa + Nge An gui TW" xfId="1200"/>
    <cellStyle name="Dziesietny [0]_Invoices2001Slovakia_Book1_Tong hop Cac tuyen(9-1-06)" xfId="1201"/>
    <cellStyle name="Dziesiętny [0]_Invoices2001Slovakia_Book1_Tong hop Cac tuyen(9-1-06)" xfId="1202"/>
    <cellStyle name="Dziesietny [0]_Invoices2001Slovakia_Book1_ung truoc 2011 NSTW Thanh Hoa + Nge An gui Thu 12-5" xfId="1203"/>
    <cellStyle name="Dziesiętny [0]_Invoices2001Slovakia_Book1_ung truoc 2011 NSTW Thanh Hoa + Nge An gui Thu 12-5" xfId="1204"/>
    <cellStyle name="Dziesietny [0]_Invoices2001Slovakia_d-uong+TDT" xfId="1205"/>
    <cellStyle name="Dziesiętny [0]_Invoices2001Slovakia_Nhµ ®Ó xe" xfId="1206"/>
    <cellStyle name="Dziesietny [0]_Invoices2001Slovakia_Nha bao ve(28-7-05)" xfId="1207"/>
    <cellStyle name="Dziesiętny [0]_Invoices2001Slovakia_Nha bao ve(28-7-05)" xfId="1208"/>
    <cellStyle name="Dziesietny [0]_Invoices2001Slovakia_NHA de xe nguyen du" xfId="1209"/>
    <cellStyle name="Dziesiętny [0]_Invoices2001Slovakia_NHA de xe nguyen du" xfId="1210"/>
    <cellStyle name="Dziesietny [0]_Invoices2001Slovakia_Nhalamviec VTC(25-1-05)" xfId="1211"/>
    <cellStyle name="Dziesiętny [0]_Invoices2001Slovakia_Nhalamviec VTC(25-1-05)" xfId="1212"/>
    <cellStyle name="Dziesietny [0]_Invoices2001Slovakia_Nhu cau von ung truoc 2011 Tha h Hoa + Nge An gui TW" xfId="1213"/>
    <cellStyle name="Dziesiętny [0]_Invoices2001Slovakia_TDT KHANH HOA" xfId="1214"/>
    <cellStyle name="Dziesietny [0]_Invoices2001Slovakia_TDT KHANH HOA_Tong hop Cac tuyen(9-1-06)" xfId="1215"/>
    <cellStyle name="Dziesiętny [0]_Invoices2001Slovakia_TDT KHANH HOA_Tong hop Cac tuyen(9-1-06)" xfId="1216"/>
    <cellStyle name="Dziesietny [0]_Invoices2001Slovakia_TDT quangngai" xfId="1217"/>
    <cellStyle name="Dziesiętny [0]_Invoices2001Slovakia_TDT quangngai" xfId="1218"/>
    <cellStyle name="Dziesietny [0]_Invoices2001Slovakia_TMDT(10-5-06)" xfId="1219"/>
    <cellStyle name="Dziesietny_Invoices2001Slovakia" xfId="1220"/>
    <cellStyle name="Dziesiętny_Invoices2001Slovakia" xfId="1221"/>
    <cellStyle name="Dziesietny_Invoices2001Slovakia_01_Nha so 1_Dien" xfId="1222"/>
    <cellStyle name="Dziesiętny_Invoices2001Slovakia_01_Nha so 1_Dien" xfId="1223"/>
    <cellStyle name="Dziesietny_Invoices2001Slovakia_10_Nha so 10_Dien1" xfId="1224"/>
    <cellStyle name="Dziesiętny_Invoices2001Slovakia_10_Nha so 10_Dien1" xfId="1225"/>
    <cellStyle name="Dziesietny_Invoices2001Slovakia_Bieu bao cao von TPCP gd 2003-2010(18.5)" xfId="1226"/>
    <cellStyle name="Dziesiętny_Invoices2001Slovakia_Book1" xfId="1227"/>
    <cellStyle name="Dziesietny_Invoices2001Slovakia_Book1_1" xfId="1228"/>
    <cellStyle name="Dziesiętny_Invoices2001Slovakia_Book1_1" xfId="1229"/>
    <cellStyle name="Dziesietny_Invoices2001Slovakia_Book1_1_Book1" xfId="1230"/>
    <cellStyle name="Dziesiętny_Invoices2001Slovakia_Book1_1_Book1" xfId="1231"/>
    <cellStyle name="Dziesietny_Invoices2001Slovakia_Book1_2" xfId="1232"/>
    <cellStyle name="Dziesiętny_Invoices2001Slovakia_Book1_2" xfId="1233"/>
    <cellStyle name="Dziesietny_Invoices2001Slovakia_Book1_Nhu cau von ung truoc 2011 Tha h Hoa + Nge An gui TW" xfId="1234"/>
    <cellStyle name="Dziesiętny_Invoices2001Slovakia_Book1_Nhu cau von ung truoc 2011 Tha h Hoa + Nge An gui TW" xfId="1235"/>
    <cellStyle name="Dziesietny_Invoices2001Slovakia_Book1_Tong hop Cac tuyen(9-1-06)" xfId="1236"/>
    <cellStyle name="Dziesiętny_Invoices2001Slovakia_Book1_Tong hop Cac tuyen(9-1-06)" xfId="1237"/>
    <cellStyle name="Dziesietny_Invoices2001Slovakia_Book1_ung truoc 2011 NSTW Thanh Hoa + Nge An gui Thu 12-5" xfId="1238"/>
    <cellStyle name="Dziesiętny_Invoices2001Slovakia_Book1_ung truoc 2011 NSTW Thanh Hoa + Nge An gui Thu 12-5" xfId="1239"/>
    <cellStyle name="Dziesietny_Invoices2001Slovakia_d-uong+TDT" xfId="1240"/>
    <cellStyle name="Dziesiętny_Invoices2001Slovakia_Nhµ ®Ó xe" xfId="1241"/>
    <cellStyle name="Dziesietny_Invoices2001Slovakia_Nha bao ve(28-7-05)" xfId="1242"/>
    <cellStyle name="Dziesiętny_Invoices2001Slovakia_Nha bao ve(28-7-05)" xfId="1243"/>
    <cellStyle name="Dziesietny_Invoices2001Slovakia_NHA de xe nguyen du" xfId="1244"/>
    <cellStyle name="Dziesiętny_Invoices2001Slovakia_NHA de xe nguyen du" xfId="1245"/>
    <cellStyle name="Dziesietny_Invoices2001Slovakia_Nhalamviec VTC(25-1-05)" xfId="1246"/>
    <cellStyle name="Dziesiętny_Invoices2001Slovakia_Nhalamviec VTC(25-1-05)" xfId="1247"/>
    <cellStyle name="Dziesietny_Invoices2001Slovakia_Nhu cau von ung truoc 2011 Tha h Hoa + Nge An gui TW" xfId="1248"/>
    <cellStyle name="Dziesiętny_Invoices2001Slovakia_TDT KHANH HOA" xfId="1249"/>
    <cellStyle name="Dziesietny_Invoices2001Slovakia_TDT KHANH HOA_Tong hop Cac tuyen(9-1-06)" xfId="1250"/>
    <cellStyle name="Dziesiętny_Invoices2001Slovakia_TDT KHANH HOA_Tong hop Cac tuyen(9-1-06)" xfId="1251"/>
    <cellStyle name="Dziesietny_Invoices2001Slovakia_TDT quangngai" xfId="1252"/>
    <cellStyle name="Dziesiętny_Invoices2001Slovakia_TDT quangngai" xfId="1253"/>
    <cellStyle name="Dziesietny_Invoices2001Slovakia_TMDT(10-5-06)" xfId="1254"/>
    <cellStyle name="e" xfId="1255"/>
    <cellStyle name="E&amp;Y House" xfId="1256"/>
    <cellStyle name="Enter Currency (0)" xfId="1257"/>
    <cellStyle name="Enter Currency (2)" xfId="1258"/>
    <cellStyle name="Enter Units (0)" xfId="1259"/>
    <cellStyle name="Enter Units (1)" xfId="1260"/>
    <cellStyle name="Enter Units (2)" xfId="1261"/>
    <cellStyle name="Entered" xfId="1262"/>
    <cellStyle name="Euro" xfId="1263"/>
    <cellStyle name="Explanatory Text" xfId="1264"/>
    <cellStyle name="Explanatory Text 10" xfId="1265"/>
    <cellStyle name="Explanatory Text 11" xfId="1266"/>
    <cellStyle name="Explanatory Text 12" xfId="1267"/>
    <cellStyle name="Explanatory Text 13" xfId="1268"/>
    <cellStyle name="Explanatory Text 14" xfId="1269"/>
    <cellStyle name="Explanatory Text 2" xfId="1270"/>
    <cellStyle name="Explanatory Text 3" xfId="1271"/>
    <cellStyle name="Explanatory Text 4" xfId="1272"/>
    <cellStyle name="Explanatory Text 5" xfId="1273"/>
    <cellStyle name="Explanatory Text 6" xfId="1274"/>
    <cellStyle name="Explanatory Text 7" xfId="1275"/>
    <cellStyle name="Explanatory Text 8" xfId="1276"/>
    <cellStyle name="Explanatory Text 9" xfId="1277"/>
    <cellStyle name="f" xfId="1278"/>
    <cellStyle name="f_Danhmuc_Quyhoach2009 2" xfId="1279"/>
    <cellStyle name="Fixed" xfId="1280"/>
    <cellStyle name="Font Britannic16" xfId="1281"/>
    <cellStyle name="Font Britannic18" xfId="1282"/>
    <cellStyle name="Font CenturyCond 18" xfId="1283"/>
    <cellStyle name="Font Cond20" xfId="1284"/>
    <cellStyle name="Font LucidaSans16" xfId="1285"/>
    <cellStyle name="Font NewCenturyCond18" xfId="1286"/>
    <cellStyle name="Font Ottawa14" xfId="1287"/>
    <cellStyle name="Font Ottawa16" xfId="1288"/>
    <cellStyle name="gia" xfId="1289"/>
    <cellStyle name="GIA-MOI" xfId="1290"/>
    <cellStyle name="Good" xfId="1291"/>
    <cellStyle name="Good 10" xfId="1292"/>
    <cellStyle name="Good 11" xfId="1293"/>
    <cellStyle name="Good 12" xfId="1294"/>
    <cellStyle name="Good 13" xfId="1295"/>
    <cellStyle name="Good 14" xfId="1296"/>
    <cellStyle name="Good 2" xfId="1297"/>
    <cellStyle name="Good 3" xfId="1298"/>
    <cellStyle name="Good 4" xfId="1299"/>
    <cellStyle name="Good 5" xfId="1300"/>
    <cellStyle name="Good 6" xfId="1301"/>
    <cellStyle name="Good 7" xfId="1302"/>
    <cellStyle name="Good 8" xfId="1303"/>
    <cellStyle name="Good 9" xfId="1304"/>
    <cellStyle name="Grey" xfId="1305"/>
    <cellStyle name="Group" xfId="1306"/>
    <cellStyle name="H" xfId="1307"/>
    <cellStyle name="ha" xfId="1308"/>
    <cellStyle name="Head 1" xfId="1309"/>
    <cellStyle name="HEADER" xfId="1310"/>
    <cellStyle name="Header1" xfId="1311"/>
    <cellStyle name="Header2" xfId="1312"/>
    <cellStyle name="Heading" xfId="1313"/>
    <cellStyle name="Heading 1" xfId="1314"/>
    <cellStyle name="Heading 1 10" xfId="1315"/>
    <cellStyle name="Heading 1 11" xfId="1316"/>
    <cellStyle name="Heading 1 12" xfId="1317"/>
    <cellStyle name="Heading 1 13" xfId="1318"/>
    <cellStyle name="Heading 1 14" xfId="1319"/>
    <cellStyle name="Heading 1 2" xfId="1320"/>
    <cellStyle name="Heading 1 3" xfId="1321"/>
    <cellStyle name="Heading 1 4" xfId="1322"/>
    <cellStyle name="Heading 1 5" xfId="1323"/>
    <cellStyle name="Heading 1 6" xfId="1324"/>
    <cellStyle name="Heading 1 7" xfId="1325"/>
    <cellStyle name="Heading 1 8" xfId="1326"/>
    <cellStyle name="Heading 1 9" xfId="1327"/>
    <cellStyle name="Heading 2" xfId="1328"/>
    <cellStyle name="Heading 2 10" xfId="1329"/>
    <cellStyle name="Heading 2 11" xfId="1330"/>
    <cellStyle name="Heading 2 12" xfId="1331"/>
    <cellStyle name="Heading 2 13" xfId="1332"/>
    <cellStyle name="Heading 2 14" xfId="1333"/>
    <cellStyle name="Heading 2 2" xfId="1334"/>
    <cellStyle name="Heading 2 3" xfId="1335"/>
    <cellStyle name="Heading 2 4" xfId="1336"/>
    <cellStyle name="Heading 2 5" xfId="1337"/>
    <cellStyle name="Heading 2 6" xfId="1338"/>
    <cellStyle name="Heading 2 7" xfId="1339"/>
    <cellStyle name="Heading 2 8" xfId="1340"/>
    <cellStyle name="Heading 2 9" xfId="1341"/>
    <cellStyle name="Heading 3" xfId="1342"/>
    <cellStyle name="Heading 3 10" xfId="1343"/>
    <cellStyle name="Heading 3 11" xfId="1344"/>
    <cellStyle name="Heading 3 12" xfId="1345"/>
    <cellStyle name="Heading 3 13" xfId="1346"/>
    <cellStyle name="Heading 3 14" xfId="1347"/>
    <cellStyle name="Heading 3 2" xfId="1348"/>
    <cellStyle name="Heading 3 3" xfId="1349"/>
    <cellStyle name="Heading 3 4" xfId="1350"/>
    <cellStyle name="Heading 3 5" xfId="1351"/>
    <cellStyle name="Heading 3 6" xfId="1352"/>
    <cellStyle name="Heading 3 7" xfId="1353"/>
    <cellStyle name="Heading 3 8" xfId="1354"/>
    <cellStyle name="Heading 3 9" xfId="1355"/>
    <cellStyle name="Heading 4" xfId="1356"/>
    <cellStyle name="Heading 4 10" xfId="1357"/>
    <cellStyle name="Heading 4 11" xfId="1358"/>
    <cellStyle name="Heading 4 12" xfId="1359"/>
    <cellStyle name="Heading 4 13" xfId="1360"/>
    <cellStyle name="Heading 4 14" xfId="1361"/>
    <cellStyle name="Heading 4 2" xfId="1362"/>
    <cellStyle name="Heading 4 3" xfId="1363"/>
    <cellStyle name="Heading 4 4" xfId="1364"/>
    <cellStyle name="Heading 4 5" xfId="1365"/>
    <cellStyle name="Heading 4 6" xfId="1366"/>
    <cellStyle name="Heading 4 7" xfId="1367"/>
    <cellStyle name="Heading 4 8" xfId="1368"/>
    <cellStyle name="Heading 4 9" xfId="1369"/>
    <cellStyle name="Heading1" xfId="1370"/>
    <cellStyle name="Heading2" xfId="1371"/>
    <cellStyle name="HEADINGS" xfId="1372"/>
    <cellStyle name="HEADINGSTOP" xfId="1373"/>
    <cellStyle name="headoption" xfId="1374"/>
    <cellStyle name="Hoa-Scholl" xfId="1375"/>
    <cellStyle name="HUY" xfId="1376"/>
    <cellStyle name="i phÝ kh¸c_B¶ng 2" xfId="1377"/>
    <cellStyle name="I.3" xfId="1378"/>
    <cellStyle name="i·0" xfId="1379"/>
    <cellStyle name="ï-¾È»ê_BiÓu TB" xfId="1380"/>
    <cellStyle name="Indent" xfId="1381"/>
    <cellStyle name="Input" xfId="1382"/>
    <cellStyle name="Input [yellow]" xfId="1383"/>
    <cellStyle name="Input 10" xfId="1384"/>
    <cellStyle name="Input 11" xfId="1385"/>
    <cellStyle name="Input 12" xfId="1386"/>
    <cellStyle name="Input 13" xfId="1387"/>
    <cellStyle name="Input 14" xfId="1388"/>
    <cellStyle name="Input 2" xfId="1389"/>
    <cellStyle name="Input 3" xfId="1390"/>
    <cellStyle name="Input 4" xfId="1391"/>
    <cellStyle name="Input 5" xfId="1392"/>
    <cellStyle name="Input 6" xfId="1393"/>
    <cellStyle name="Input 7" xfId="1394"/>
    <cellStyle name="Input 8" xfId="1395"/>
    <cellStyle name="Input 9" xfId="1396"/>
    <cellStyle name="Input Cells" xfId="1397"/>
    <cellStyle name="k_TONG HOP KINH PHI" xfId="1398"/>
    <cellStyle name="k_ÿÿÿÿÿ" xfId="1399"/>
    <cellStyle name="k_ÿÿÿÿÿ_1" xfId="1400"/>
    <cellStyle name="k_ÿÿÿÿÿ_2" xfId="1401"/>
    <cellStyle name="kh¸c_Bang Chi tieu" xfId="1402"/>
    <cellStyle name="khanh" xfId="1403"/>
    <cellStyle name="khung" xfId="1404"/>
    <cellStyle name="kien1" xfId="1405"/>
    <cellStyle name="KLBXUNG" xfId="1406"/>
    <cellStyle name="Ledger 17 x 11 in" xfId="1407"/>
    <cellStyle name="Ledger 17 x 11 in 2" xfId="1408"/>
    <cellStyle name="Ledger 17 x 11 in 5" xfId="1409"/>
    <cellStyle name="Ledger 17 x 11 in_Bang TH dang ky KHXD duong GTNT 2016 (20_1_16) Lay y kien TC KHDT - Copy" xfId="1410"/>
    <cellStyle name="left" xfId="1411"/>
    <cellStyle name="Link Currency (0)" xfId="1412"/>
    <cellStyle name="Link Currency (2)" xfId="1413"/>
    <cellStyle name="Link Units (0)" xfId="1414"/>
    <cellStyle name="Link Units (1)" xfId="1415"/>
    <cellStyle name="Link Units (2)" xfId="1416"/>
    <cellStyle name="Linked Cell" xfId="1417"/>
    <cellStyle name="Linked Cell 10" xfId="1418"/>
    <cellStyle name="Linked Cell 11" xfId="1419"/>
    <cellStyle name="Linked Cell 12" xfId="1420"/>
    <cellStyle name="Linked Cell 13" xfId="1421"/>
    <cellStyle name="Linked Cell 14" xfId="1422"/>
    <cellStyle name="Linked Cell 2" xfId="1423"/>
    <cellStyle name="Linked Cell 3" xfId="1424"/>
    <cellStyle name="Linked Cell 4" xfId="1425"/>
    <cellStyle name="Linked Cell 5" xfId="1426"/>
    <cellStyle name="Linked Cell 6" xfId="1427"/>
    <cellStyle name="Linked Cell 7" xfId="1428"/>
    <cellStyle name="Linked Cell 8" xfId="1429"/>
    <cellStyle name="Linked Cell 9" xfId="1430"/>
    <cellStyle name="Linked Cells" xfId="1431"/>
    <cellStyle name="MAU" xfId="1432"/>
    <cellStyle name="Millares [0]_2AV_M_M " xfId="1433"/>
    <cellStyle name="Millares_2AV_M_M " xfId="1434"/>
    <cellStyle name="Milliers [0]_      " xfId="1435"/>
    <cellStyle name="Milliers_      " xfId="1436"/>
    <cellStyle name="Môc" xfId="1437"/>
    <cellStyle name="Model" xfId="1438"/>
    <cellStyle name="moi" xfId="1439"/>
    <cellStyle name="Mon?aire [0]_      " xfId="1440"/>
    <cellStyle name="Mon?aire_      " xfId="1441"/>
    <cellStyle name="Moneda [0]_2AV_M_M " xfId="1442"/>
    <cellStyle name="Moneda_2AV_M_M " xfId="1443"/>
    <cellStyle name="Monétaire [0]_      " xfId="1444"/>
    <cellStyle name="Monétaire_      " xfId="1445"/>
    <cellStyle name="n" xfId="1446"/>
    <cellStyle name="Neutral" xfId="1447"/>
    <cellStyle name="Neutral 10" xfId="1448"/>
    <cellStyle name="Neutral 11" xfId="1449"/>
    <cellStyle name="Neutral 12" xfId="1450"/>
    <cellStyle name="Neutral 13" xfId="1451"/>
    <cellStyle name="Neutral 14" xfId="1452"/>
    <cellStyle name="Neutral 2" xfId="1453"/>
    <cellStyle name="Neutral 3" xfId="1454"/>
    <cellStyle name="Neutral 4" xfId="1455"/>
    <cellStyle name="Neutral 5" xfId="1456"/>
    <cellStyle name="Neutral 6" xfId="1457"/>
    <cellStyle name="Neutral 7" xfId="1458"/>
    <cellStyle name="Neutral 8" xfId="1459"/>
    <cellStyle name="Neutral 9" xfId="1460"/>
    <cellStyle name="New" xfId="1461"/>
    <cellStyle name="New Times Roman" xfId="1462"/>
    <cellStyle name="nga" xfId="1463"/>
    <cellStyle name="no dec" xfId="1464"/>
    <cellStyle name="ÑONVÒ" xfId="1465"/>
    <cellStyle name="Normal - Style1" xfId="1466"/>
    <cellStyle name="Normal - 유형1" xfId="1467"/>
    <cellStyle name="Normal 10" xfId="1468"/>
    <cellStyle name="Normal 11" xfId="1469"/>
    <cellStyle name="Normal 11 2" xfId="1470"/>
    <cellStyle name="Normal 11 3 2" xfId="1471"/>
    <cellStyle name="Normal 11_BIEU CHI TIEU, NGUYEN TAC PHAN BO" xfId="1472"/>
    <cellStyle name="Normal 12" xfId="1473"/>
    <cellStyle name="Normal 13" xfId="1474"/>
    <cellStyle name="Normal 14" xfId="1475"/>
    <cellStyle name="Normal 15" xfId="1476"/>
    <cellStyle name="Normal 15 2" xfId="1477"/>
    <cellStyle name="Normal 16" xfId="1478"/>
    <cellStyle name="Normal 17" xfId="1479"/>
    <cellStyle name="Normal 18" xfId="1480"/>
    <cellStyle name="Normal 18 2" xfId="1481"/>
    <cellStyle name="Normal 18 26" xfId="1482"/>
    <cellStyle name="Normal 18 27" xfId="1483"/>
    <cellStyle name="Normal 19" xfId="1484"/>
    <cellStyle name="Normal 2" xfId="1485"/>
    <cellStyle name="Normal 2 10" xfId="1486"/>
    <cellStyle name="Normal 2 10 2" xfId="1487"/>
    <cellStyle name="Normal 2 11" xfId="1488"/>
    <cellStyle name="Normal 2 12" xfId="1489"/>
    <cellStyle name="Normal 2 13" xfId="1490"/>
    <cellStyle name="Normal 2 14" xfId="1491"/>
    <cellStyle name="Normal 2 15" xfId="1492"/>
    <cellStyle name="Normal 2 16" xfId="1493"/>
    <cellStyle name="Normal 2 16 2" xfId="1494"/>
    <cellStyle name="Normal 2 17" xfId="1495"/>
    <cellStyle name="Normal 2 2" xfId="1496"/>
    <cellStyle name="Normal 2 2 14" xfId="1497"/>
    <cellStyle name="Normal 2 2 2" xfId="1498"/>
    <cellStyle name="Normal 2 2 2 2" xfId="1499"/>
    <cellStyle name="Normal 2 2 2 3" xfId="1500"/>
    <cellStyle name="Normal 2 2 3" xfId="1501"/>
    <cellStyle name="Normal 2 2 3 2" xfId="1502"/>
    <cellStyle name="Normal 2 2 4" xfId="1503"/>
    <cellStyle name="Normal 2 2_BIEU CHI TIEU, NGUYEN TAC PHAN BO" xfId="1504"/>
    <cellStyle name="Normal 2 3" xfId="1505"/>
    <cellStyle name="Normal 2 3 2" xfId="1506"/>
    <cellStyle name="Normal 2 30" xfId="1507"/>
    <cellStyle name="Normal 2 4" xfId="1508"/>
    <cellStyle name="Normal 2 4 2" xfId="1509"/>
    <cellStyle name="Normal 2 4 3" xfId="1510"/>
    <cellStyle name="Normal 2 4_BIEU CHI TIEU, NGUYEN TAC PHAN BO" xfId="1511"/>
    <cellStyle name="Normal 2 5" xfId="1512"/>
    <cellStyle name="Normal 2 6" xfId="1513"/>
    <cellStyle name="Normal 2 7" xfId="1514"/>
    <cellStyle name="Normal 2 8" xfId="1515"/>
    <cellStyle name="Normal 2 9" xfId="1516"/>
    <cellStyle name="Normal 2_1.KH gõ lại KH 2015 lam BC 135 Phat hanh" xfId="1517"/>
    <cellStyle name="Normal 20" xfId="1518"/>
    <cellStyle name="Normal 20 2"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18" xfId="1530"/>
    <cellStyle name="Normal 3 19" xfId="1531"/>
    <cellStyle name="Normal 3 2" xfId="1532"/>
    <cellStyle name="Normal 3 2 2" xfId="1533"/>
    <cellStyle name="Normal 3 3" xfId="1534"/>
    <cellStyle name="Normal 3 3 2" xfId="1535"/>
    <cellStyle name="Normal 3 4" xfId="1536"/>
    <cellStyle name="Normal 3 5" xfId="1537"/>
    <cellStyle name="Normal 3_1. 135 SMC(Sua l-i 23.4.2014)" xfId="1538"/>
    <cellStyle name="Normal 30" xfId="1539"/>
    <cellStyle name="Normal 31" xfId="1540"/>
    <cellStyle name="Normal 32" xfId="1541"/>
    <cellStyle name="Normal 33" xfId="1542"/>
    <cellStyle name="Normal 34" xfId="1543"/>
    <cellStyle name="Normal 35" xfId="1544"/>
    <cellStyle name="Normal 36" xfId="1545"/>
    <cellStyle name="Normal 37" xfId="1546"/>
    <cellStyle name="Normal 38" xfId="1547"/>
    <cellStyle name="Normal 39" xfId="1548"/>
    <cellStyle name="Normal 4" xfId="1549"/>
    <cellStyle name="Normal 4 2" xfId="1550"/>
    <cellStyle name="Normal 4 2 2" xfId="1551"/>
    <cellStyle name="Normal 4 3" xfId="1552"/>
    <cellStyle name="Normal 4_1.KH gõ lại KH 2015 lam BC 135 Phat hanh" xfId="1553"/>
    <cellStyle name="Normal 40" xfId="1554"/>
    <cellStyle name="Normal 41" xfId="1555"/>
    <cellStyle name="Normal 42" xfId="1556"/>
    <cellStyle name="Normal 43" xfId="1557"/>
    <cellStyle name="Normal 44" xfId="1558"/>
    <cellStyle name="Normal 45" xfId="1559"/>
    <cellStyle name="Normal 45 2" xfId="1560"/>
    <cellStyle name="Normal 46" xfId="1561"/>
    <cellStyle name="Normal 47" xfId="1562"/>
    <cellStyle name="Normal 47 2" xfId="1563"/>
    <cellStyle name="Normal 48" xfId="1564"/>
    <cellStyle name="Normal 49" xfId="1565"/>
    <cellStyle name="Normal 5" xfId="1566"/>
    <cellStyle name="Normal 5 11" xfId="1567"/>
    <cellStyle name="Normal 5 2" xfId="1568"/>
    <cellStyle name="Normal 5 2 2" xfId="1569"/>
    <cellStyle name="Normal 50" xfId="1570"/>
    <cellStyle name="Normal 50 2" xfId="1571"/>
    <cellStyle name="Normal 51" xfId="1572"/>
    <cellStyle name="Normal 52" xfId="1573"/>
    <cellStyle name="Normal 53" xfId="1574"/>
    <cellStyle name="Normal 54" xfId="1575"/>
    <cellStyle name="Normal 55" xfId="1576"/>
    <cellStyle name="Normal 56" xfId="1577"/>
    <cellStyle name="Normal 57" xfId="1578"/>
    <cellStyle name="Normal 58" xfId="1579"/>
    <cellStyle name="Normal 59" xfId="1580"/>
    <cellStyle name="Normal 6" xfId="1581"/>
    <cellStyle name="Normal 6 2" xfId="1582"/>
    <cellStyle name="Normal 6 3" xfId="1583"/>
    <cellStyle name="Normal 6 4" xfId="1584"/>
    <cellStyle name="Normal 60" xfId="1585"/>
    <cellStyle name="Normal 61" xfId="1586"/>
    <cellStyle name="Normal 62" xfId="1587"/>
    <cellStyle name="Normal 63" xfId="1588"/>
    <cellStyle name="Normal 64" xfId="1589"/>
    <cellStyle name="Normal 65" xfId="1590"/>
    <cellStyle name="Normal 66" xfId="1591"/>
    <cellStyle name="Normal 67" xfId="1592"/>
    <cellStyle name="Normal 68" xfId="1593"/>
    <cellStyle name="Normal 69" xfId="1594"/>
    <cellStyle name="Normal 7" xfId="1595"/>
    <cellStyle name="Normal 7 2" xfId="1596"/>
    <cellStyle name="Normal 7 3" xfId="1597"/>
    <cellStyle name="Normal 7_BIEU BC RA SOAT NTM GD 16-20 (1)" xfId="1598"/>
    <cellStyle name="Normal 70" xfId="1599"/>
    <cellStyle name="Normal 71" xfId="1600"/>
    <cellStyle name="Normal 8" xfId="1601"/>
    <cellStyle name="Normal 9" xfId="1602"/>
    <cellStyle name="Normal 9 2" xfId="1603"/>
    <cellStyle name="Normal 9_BIEU CHI TIEU, NGUYEN TAC PHAN BO" xfId="1604"/>
    <cellStyle name="Normal_Qtoan 2009" xfId="1605"/>
    <cellStyle name="Normal_Sheet1" xfId="1606"/>
    <cellStyle name="Normal_Sheet1 2" xfId="1607"/>
    <cellStyle name="Normal_Sheet2_1" xfId="1608"/>
    <cellStyle name="Normal1" xfId="1609"/>
    <cellStyle name="Normal8" xfId="1610"/>
    <cellStyle name="Normalny_Cennik obowiazuje od 06-08-2001 r (1)" xfId="1611"/>
    <cellStyle name="Note" xfId="1612"/>
    <cellStyle name="Note 10" xfId="1613"/>
    <cellStyle name="Note 11" xfId="1614"/>
    <cellStyle name="Note 12" xfId="1615"/>
    <cellStyle name="Note 13" xfId="1616"/>
    <cellStyle name="Note 14" xfId="1617"/>
    <cellStyle name="Note 2" xfId="1618"/>
    <cellStyle name="Note 3" xfId="1619"/>
    <cellStyle name="Note 4" xfId="1620"/>
    <cellStyle name="Note 5" xfId="1621"/>
    <cellStyle name="Note 6" xfId="1622"/>
    <cellStyle name="Note 7" xfId="1623"/>
    <cellStyle name="Note 8" xfId="1624"/>
    <cellStyle name="Note 9" xfId="1625"/>
    <cellStyle name="NWM" xfId="1626"/>
    <cellStyle name="Ò&#13;Normal_123569" xfId="1627"/>
    <cellStyle name="Œ…‹æØ‚è [0.00]_laroux" xfId="1628"/>
    <cellStyle name="Œ…‹æØ‚è_laroux" xfId="1629"/>
    <cellStyle name="oft Excel]&#13;&#10;Comment=open=/f ‚ðw’è‚·‚é‚ÆAƒ†[ƒU[’è‹`ŠÖ”‚ðŠÖ”“\‚è•t‚¯‚Ìˆê——‚É“o˜^‚·‚é‚±‚Æ‚ª‚Å‚«‚Ü‚·B&#13;&#10;Maximized" xfId="1630"/>
    <cellStyle name="oft Excel]&#13;&#10;Comment=open=/f ‚ðŽw’è‚·‚é‚ÆAƒ†[ƒU[’è‹`ŠÖ”‚ðŠÖ”“\‚è•t‚¯‚Ìˆê——‚É“o˜^‚·‚é‚±‚Æ‚ª‚Å‚«‚Ü‚·B&#13;&#10;Maximized" xfId="1631"/>
    <cellStyle name="oft Excel]&#13;&#10;Comment=The open=/f lines load custom functions into the Paste Function list.&#13;&#10;Maximized=2&#13;&#10;Basics=1&#13;&#10;A" xfId="1632"/>
    <cellStyle name="oft Excel]&#13;&#10;Comment=The open=/f lines load custom functions into the Paste Function list.&#13;&#10;Maximized=3&#13;&#10;Basics=1&#13;&#10;A" xfId="1633"/>
    <cellStyle name="omma [0]_Mktg Prog" xfId="1634"/>
    <cellStyle name="ormal_Sheet1_1" xfId="1635"/>
    <cellStyle name="Output" xfId="1636"/>
    <cellStyle name="Output 10" xfId="1637"/>
    <cellStyle name="Output 11" xfId="1638"/>
    <cellStyle name="Output 12" xfId="1639"/>
    <cellStyle name="Output 13" xfId="1640"/>
    <cellStyle name="Output 14" xfId="1641"/>
    <cellStyle name="Output 2" xfId="1642"/>
    <cellStyle name="Output 3" xfId="1643"/>
    <cellStyle name="Output 4" xfId="1644"/>
    <cellStyle name="Output 5" xfId="1645"/>
    <cellStyle name="Output 6" xfId="1646"/>
    <cellStyle name="Output 7" xfId="1647"/>
    <cellStyle name="Output 8" xfId="1648"/>
    <cellStyle name="Output 9" xfId="1649"/>
    <cellStyle name="p" xfId="1650"/>
    <cellStyle name="Pattern" xfId="1651"/>
    <cellStyle name="per.style" xfId="1652"/>
    <cellStyle name="Percent" xfId="1653"/>
    <cellStyle name="Percent [0]" xfId="1654"/>
    <cellStyle name="Percent [00]" xfId="1655"/>
    <cellStyle name="Percent [2]" xfId="1656"/>
    <cellStyle name="Percent 2" xfId="1657"/>
    <cellStyle name="Percent 3" xfId="1658"/>
    <cellStyle name="Percent 4" xfId="1659"/>
    <cellStyle name="Percent 5" xfId="1660"/>
    <cellStyle name="Percent 6" xfId="1661"/>
    <cellStyle name="PERCENTAGE" xfId="1662"/>
    <cellStyle name="PrePop Currency (0)" xfId="1663"/>
    <cellStyle name="PrePop Currency (2)" xfId="1664"/>
    <cellStyle name="PrePop Units (0)" xfId="1665"/>
    <cellStyle name="PrePop Units (1)" xfId="1666"/>
    <cellStyle name="PrePop Units (2)" xfId="1667"/>
    <cellStyle name="pricing" xfId="1668"/>
    <cellStyle name="PSChar" xfId="1669"/>
    <cellStyle name="PSHeading" xfId="1670"/>
    <cellStyle name="regstoresfromspecstores" xfId="1671"/>
    <cellStyle name="RevList" xfId="1672"/>
    <cellStyle name="rlink_tiªn l­în_x001B_Hyperlink_TONG HOP KINH PHI" xfId="1673"/>
    <cellStyle name="rmal_ADAdot" xfId="1674"/>
    <cellStyle name="S—_x0008_" xfId="1675"/>
    <cellStyle name="s]&#13;&#10;spooler=yes&#13;&#10;load=&#13;&#10;Beep=yes&#13;&#10;NullPort=None&#13;&#10;BorderWidth=3&#13;&#10;CursorBlinkRate=1200&#13;&#10;DoubleClickSpeed=452&#13;&#10;Programs=co" xfId="1676"/>
    <cellStyle name="SAPBEXaggData" xfId="1677"/>
    <cellStyle name="SAPBEXaggDataEmph" xfId="1678"/>
    <cellStyle name="SAPBEXaggItem" xfId="1679"/>
    <cellStyle name="SAPBEXchaText" xfId="1680"/>
    <cellStyle name="SAPBEXexcBad7" xfId="1681"/>
    <cellStyle name="SAPBEXexcBad8" xfId="1682"/>
    <cellStyle name="SAPBEXexcBad9" xfId="1683"/>
    <cellStyle name="SAPBEXexcCritical4" xfId="1684"/>
    <cellStyle name="SAPBEXexcCritical5" xfId="1685"/>
    <cellStyle name="SAPBEXexcCritical6" xfId="1686"/>
    <cellStyle name="SAPBEXexcGood1" xfId="1687"/>
    <cellStyle name="SAPBEXexcGood2" xfId="1688"/>
    <cellStyle name="SAPBEXexcGood3" xfId="1689"/>
    <cellStyle name="SAPBEXfilterDrill" xfId="1690"/>
    <cellStyle name="SAPBEXfilterItem" xfId="1691"/>
    <cellStyle name="SAPBEXfilterText" xfId="1692"/>
    <cellStyle name="SAPBEXformats" xfId="1693"/>
    <cellStyle name="SAPBEXheaderItem" xfId="1694"/>
    <cellStyle name="SAPBEXheaderText" xfId="1695"/>
    <cellStyle name="SAPBEXresData" xfId="1696"/>
    <cellStyle name="SAPBEXresDataEmph" xfId="1697"/>
    <cellStyle name="SAPBEXresItem" xfId="1698"/>
    <cellStyle name="SAPBEXstdData" xfId="1699"/>
    <cellStyle name="SAPBEXstdDataEmph" xfId="1700"/>
    <cellStyle name="SAPBEXstdItem" xfId="1701"/>
    <cellStyle name="SAPBEXtitle" xfId="1702"/>
    <cellStyle name="SAPBEXundefined" xfId="1703"/>
    <cellStyle name="serJet 1200 Series PCL 6" xfId="1704"/>
    <cellStyle name="SHADEDSTORES" xfId="1705"/>
    <cellStyle name="Siêu nối kết_Book1" xfId="1706"/>
    <cellStyle name="songuyen" xfId="1707"/>
    <cellStyle name="Spaltenebene_1_主营业务利润明细表" xfId="1708"/>
    <cellStyle name="specstores" xfId="1709"/>
    <cellStyle name="Standard_9. Fixed assets-Additions list" xfId="1710"/>
    <cellStyle name="STTDG" xfId="1711"/>
    <cellStyle name="Style 1" xfId="1712"/>
    <cellStyle name="Style 1 2" xfId="1713"/>
    <cellStyle name="Style 1_BIEU CHI TIEU, NGUYEN TAC PHAN BO" xfId="1714"/>
    <cellStyle name="Style 10" xfId="1715"/>
    <cellStyle name="Style 11" xfId="1716"/>
    <cellStyle name="Style 12" xfId="1717"/>
    <cellStyle name="Style 13" xfId="1718"/>
    <cellStyle name="Style 14" xfId="1719"/>
    <cellStyle name="Style 15" xfId="1720"/>
    <cellStyle name="Style 16" xfId="1721"/>
    <cellStyle name="Style 17" xfId="1722"/>
    <cellStyle name="Style 18" xfId="1723"/>
    <cellStyle name="Style 19" xfId="1724"/>
    <cellStyle name="Style 2" xfId="1725"/>
    <cellStyle name="Style 20" xfId="1726"/>
    <cellStyle name="Style 21" xfId="1727"/>
    <cellStyle name="Style 22" xfId="1728"/>
    <cellStyle name="Style 23" xfId="1729"/>
    <cellStyle name="Style 24" xfId="1730"/>
    <cellStyle name="Style 25" xfId="1731"/>
    <cellStyle name="Style 26" xfId="1732"/>
    <cellStyle name="Style 27" xfId="1733"/>
    <cellStyle name="Style 28" xfId="1734"/>
    <cellStyle name="Style 29" xfId="1735"/>
    <cellStyle name="Style 3" xfId="1736"/>
    <cellStyle name="Style 4" xfId="1737"/>
    <cellStyle name="Style 5" xfId="1738"/>
    <cellStyle name="Style 6" xfId="1739"/>
    <cellStyle name="Style 7" xfId="1740"/>
    <cellStyle name="Style 8" xfId="1741"/>
    <cellStyle name="Style 9" xfId="1742"/>
    <cellStyle name="Style Date" xfId="1743"/>
    <cellStyle name="style_1" xfId="1744"/>
    <cellStyle name="Style1" xfId="1745"/>
    <cellStyle name="subhead" xfId="1746"/>
    <cellStyle name="SubHeading" xfId="1747"/>
    <cellStyle name="Subtotal" xfId="1748"/>
    <cellStyle name="T" xfId="1749"/>
    <cellStyle name="T_01659000" xfId="1750"/>
    <cellStyle name="T_04" xfId="1751"/>
    <cellStyle name="T_5602A000" xfId="1752"/>
    <cellStyle name="T_bao cao" xfId="1753"/>
    <cellStyle name="T_Bao cao QT Gui STC" xfId="1754"/>
    <cellStyle name="T_Bao cao so lieu kiem toan nam 2007 sua" xfId="1755"/>
    <cellStyle name="T_bao cao thang 6 nam 2009 Cuong TH" xfId="1756"/>
    <cellStyle name="T_BBTNG-06" xfId="1757"/>
    <cellStyle name="T_BC CTMT-2008 Ttinh" xfId="1758"/>
    <cellStyle name="T_Bc GTNT 2008 - Kh 2009" xfId="1759"/>
    <cellStyle name="T_BIEN BAN GIAO NHAN Hß SO" xfId="1760"/>
    <cellStyle name="T_Bieu bao cao von TPCP gd 2003-2010(18.5)" xfId="1761"/>
    <cellStyle name="T_Bieu GKH von TLGTTPCP 2009 (15.4.09)" xfId="1762"/>
    <cellStyle name="T_Bieu GT-TL" xfId="1763"/>
    <cellStyle name="T_Bieu mau danh muc du an thuoc CTMTQG nam 2008" xfId="1764"/>
    <cellStyle name="T_Bieu tong hop nhu cau ung 2011 da chon loc -Mien nui" xfId="1765"/>
    <cellStyle name="T_BKL khe dung" xfId="1766"/>
    <cellStyle name="T_Book1" xfId="1767"/>
    <cellStyle name="T_Book1_1" xfId="1768"/>
    <cellStyle name="T_Book1_1_Bao cao QT Gui STC" xfId="1769"/>
    <cellStyle name="T_Book1_1_Bc GTNT 2008 - Kh 2009" xfId="1770"/>
    <cellStyle name="T_Book1_1_Bieu bao cao von TPCP gd 2003-2010(18.5)" xfId="1771"/>
    <cellStyle name="T_Book1_1_Bieu tong hop nhu cau ung 2011 da chon loc -Mien nui" xfId="1772"/>
    <cellStyle name="T_Book1_1_Book1" xfId="1773"/>
    <cellStyle name="T_Book1_1_Book1_1" xfId="1774"/>
    <cellStyle name="T_Book1_1_CAI TAO BEP AN" xfId="1775"/>
    <cellStyle name="T_Book1_1_cai tao nha an bac ha tl" xfId="1776"/>
    <cellStyle name="T_Book1_1_CPK" xfId="1777"/>
    <cellStyle name="T_Book1_1_duong GT di phong HTKTsua" xfId="1778"/>
    <cellStyle name="T_Book1_1_giao cho bac" xfId="1779"/>
    <cellStyle name="T_Book1_1_ngoai that tl" xfId="1780"/>
    <cellStyle name="T_Book1_1_Nha o noi tru 3TBH tl" xfId="1781"/>
    <cellStyle name="T_Book1_1_Thiet bi" xfId="1782"/>
    <cellStyle name="T_Book1_1_TL_namluc7( BX TT 03)" xfId="1783"/>
    <cellStyle name="T_Book1_1_tongket2003-2010 Kg Vu DP" xfId="1784"/>
    <cellStyle name="T_Book1_2" xfId="1785"/>
    <cellStyle name="T_Book1_2_Bao cao QT Gui STC" xfId="1786"/>
    <cellStyle name="T_Book1_2_duong GT di phong HTKTsua" xfId="1787"/>
    <cellStyle name="T_Book1_3" xfId="1788"/>
    <cellStyle name="T_Book1_3_30a" xfId="1789"/>
    <cellStyle name="T_Book1_Bao Cao thang 1" xfId="1790"/>
    <cellStyle name="T_Book1_Bc GTNT 2008 - Kh 2009" xfId="1791"/>
    <cellStyle name="T_Book1_BIEN BAN GIAO NHAN Hß SO" xfId="1792"/>
    <cellStyle name="T_Book1_Bieu bao cao von TPCP gd 2003-2010(18.5)" xfId="1793"/>
    <cellStyle name="T_Book1_Bieu mau danh muc du an thuoc CTMTQG nam 2008" xfId="1794"/>
    <cellStyle name="T_Book1_Bieu tong hop nhu cau ung 2011 da chon loc -Mien nui" xfId="1795"/>
    <cellStyle name="T_Book1_Book1" xfId="1796"/>
    <cellStyle name="T_Book1_Book1_1" xfId="1797"/>
    <cellStyle name="T_Book1_Book1_1_Bao cao QT Gui STC" xfId="1798"/>
    <cellStyle name="T_Book1_Book1_1_Book1" xfId="1799"/>
    <cellStyle name="T_Book1_Book1_1_duong GT di phong HTKTsua" xfId="1800"/>
    <cellStyle name="T_Book1_Book1_2" xfId="1801"/>
    <cellStyle name="T_Book1_Book1_2_Bao cao QT Gui STC" xfId="1802"/>
    <cellStyle name="T_Book1_Book1_3" xfId="1803"/>
    <cellStyle name="T_Book1_Book1_30a" xfId="1804"/>
    <cellStyle name="T_Book1_Book1_Bao cao QT Gui STC" xfId="1805"/>
    <cellStyle name="T_Book1_Book1_Book1" xfId="1806"/>
    <cellStyle name="T_Book1_Book1_Book1_1" xfId="1807"/>
    <cellStyle name="T_Book1_Book1_Book1_Bao cao QT Gui STC" xfId="1808"/>
    <cellStyle name="T_Book1_Book1_CAI TAO BEP AN" xfId="1809"/>
    <cellStyle name="T_Book1_Book1_duong GT di phong HTKTsua" xfId="1810"/>
    <cellStyle name="T_Book1_CAI TAO BEP AN" xfId="1811"/>
    <cellStyle name="T_Book1_cai tao nha an bac ha tl" xfId="1812"/>
    <cellStyle name="T_Book1_CPK" xfId="1813"/>
    <cellStyle name="T_Book1_Du an khoi cong moi nam 2010" xfId="1814"/>
    <cellStyle name="T_Book1_duong GT di phong HTKTsua" xfId="1815"/>
    <cellStyle name="T_Book1_Dutoan chong moi Tru so" xfId="1816"/>
    <cellStyle name="T_Book1_giao cho bac" xfId="1817"/>
    <cellStyle name="T_Book1_Hang Tom goi9 9-07(Cau 12 sua)" xfId="1818"/>
    <cellStyle name="T_Book1_Ket qua phan bo von nam 2008" xfId="1819"/>
    <cellStyle name="T_Book1_KH XDCB_2008 lan 2 sua ngay 10-11" xfId="1820"/>
    <cellStyle name="T_Book1_Khoi luong chinh Hang Tom" xfId="1821"/>
    <cellStyle name="T_Book1_linh tinh" xfId="1822"/>
    <cellStyle name="T_Book1_ngoai that tl" xfId="1823"/>
    <cellStyle name="T_Book1_nha khach+an xd" xfId="1824"/>
    <cellStyle name="T_Book1_Nha o noi tru 3TBH tl" xfId="1825"/>
    <cellStyle name="T_Book1_Nha tru so XD1" xfId="1826"/>
    <cellStyle name="T_Book1_Nhu cau von ung truoc 2011 Tha h Hoa + Nge An gui TW" xfId="1827"/>
    <cellStyle name="T_Book1_Thiet bi" xfId="1828"/>
    <cellStyle name="T_Book1_Tien luong" xfId="1829"/>
    <cellStyle name="T_Book1_tienluong" xfId="1830"/>
    <cellStyle name="T_Book1_tongket2003-2010 Kg Vu DP" xfId="1831"/>
    <cellStyle name="T_Book1_tru so  lan viec phongKH-TC-TM,phong ha tang KT ban QLDA XDCB PNV" xfId="1832"/>
    <cellStyle name="T_Book1_ung truoc 2011 NSTW Thanh Hoa + Nge An gui Thu 12-5" xfId="1833"/>
    <cellStyle name="T_cai tao nha an bac ha tl" xfId="1834"/>
    <cellStyle name="T_Chuan bi dau tu nam 2008" xfId="1835"/>
    <cellStyle name="T_Chương trình giống+ CT Phát triển Lâm nghiệp 2010" xfId="1836"/>
    <cellStyle name="T_Chương trình giống+ CT Phát triển Lâm nghiệp 20102" xfId="1837"/>
    <cellStyle name="T_Copy of Bao cao  XDCB 7 thang nam 2008_So KH&amp;DT SUA" xfId="1838"/>
    <cellStyle name="T_Copy of Book1" xfId="1839"/>
    <cellStyle name="T_CPK" xfId="1840"/>
    <cellStyle name="T_CTMTQG 2008" xfId="1841"/>
    <cellStyle name="T_CTMTQG 2008_Bieu mau danh muc du an thuoc CTMTQG nam 2008" xfId="1842"/>
    <cellStyle name="T_CTMTQG 2008_Hi-Tong hop KQ phan bo KH nam 08- LD fong giao 15-11-08" xfId="1843"/>
    <cellStyle name="T_CTMTQG 2008_Ket qua thuc hien nam 2008" xfId="1844"/>
    <cellStyle name="T_CTMTQG 2008_KH XDCB_2008 lan 1" xfId="1845"/>
    <cellStyle name="T_CTMTQG 2008_KH XDCB_2008 lan 1 sua ngay 27-10" xfId="1846"/>
    <cellStyle name="T_CTMTQG 2008_KH XDCB_2008 lan 2 sua ngay 10-11" xfId="1847"/>
    <cellStyle name="T_DT Nam Luc" xfId="1848"/>
    <cellStyle name="T_DT§Z110VinhYen" xfId="1849"/>
    <cellStyle name="T_DTWB31" xfId="1850"/>
    <cellStyle name="T_Du an khoi cong moi nam 2010" xfId="1851"/>
    <cellStyle name="T_DU AN TKQH VA CHUAN BI DAU TU NAM 2007 sua ngay 9-11" xfId="1852"/>
    <cellStyle name="T_DU AN TKQH VA CHUAN BI DAU TU NAM 2007 sua ngay 9-11_Bieu mau danh muc du an thuoc CTMTQG nam 2008" xfId="1853"/>
    <cellStyle name="T_DU AN TKQH VA CHUAN BI DAU TU NAM 2007 sua ngay 9-11_Du an khoi cong moi nam 2010" xfId="1854"/>
    <cellStyle name="T_DU AN TKQH VA CHUAN BI DAU TU NAM 2007 sua ngay 9-11_Ket qua phan bo von nam 2008" xfId="1855"/>
    <cellStyle name="T_DU AN TKQH VA CHUAN BI DAU TU NAM 2007 sua ngay 9-11_KH XDCB_2008 lan 2 sua ngay 10-11" xfId="1856"/>
    <cellStyle name="T_du toan dieu chinh  20-8-2006" xfId="1857"/>
    <cellStyle name="T_duong GT di phong HTKTsua" xfId="1858"/>
    <cellStyle name="T_Dutoan chong moi Tru so" xfId="1859"/>
    <cellStyle name="T_giao cho bac" xfId="1860"/>
    <cellStyle name="T_Ke hoach KTXH  nam 2009_PKT thang 11 nam 2008" xfId="1861"/>
    <cellStyle name="T_Ket qua dau thau" xfId="1862"/>
    <cellStyle name="T_Ket qua phan bo von nam 2008" xfId="1863"/>
    <cellStyle name="T_KH XDCB_2008 lan 2 sua ngay 10-11" xfId="1864"/>
    <cellStyle name="T_KL Hoan Cong Trinh Truong Tieu Hoc Bac Ha (Dong den)" xfId="1865"/>
    <cellStyle name="T_linh tinh" xfId="1866"/>
    <cellStyle name="T_Me_Tri_6_07" xfId="1867"/>
    <cellStyle name="T_moi" xfId="1868"/>
    <cellStyle name="T_N2 thay dat (N1-1)" xfId="1869"/>
    <cellStyle name="T_ngoai that tl" xfId="1870"/>
    <cellStyle name="T_nha khach+an xd" xfId="1871"/>
    <cellStyle name="T_Nha o noi tru 3TBH tl" xfId="1872"/>
    <cellStyle name="T_Nha tru so XD1" xfId="1873"/>
    <cellStyle name="T_Phuong an can doi nam 2008" xfId="1874"/>
    <cellStyle name="T_QUAN ( PHEU CAO DAC)" xfId="1875"/>
    <cellStyle name="T_Ranh thoat n­¬c bao tan - bao nhai" xfId="1876"/>
    <cellStyle name="T_Seagame(BTL)" xfId="1877"/>
    <cellStyle name="T_So GTVT" xfId="1878"/>
    <cellStyle name="T_SUA LOI SO HOC GOI  1" xfId="1879"/>
    <cellStyle name="T_TD Buu dien XA HAU THAO LAN 3" xfId="1880"/>
    <cellStyle name="T_TDT + duong(8-5-07)" xfId="1881"/>
    <cellStyle name="T_tham_tra_du_toan" xfId="1882"/>
    <cellStyle name="T_Thiet bi" xfId="1883"/>
    <cellStyle name="T_Thong ke TDTKKT - Nam 2005" xfId="1884"/>
    <cellStyle name="T_Tien luong" xfId="1885"/>
    <cellStyle name="T_TL_namluc7( BX TT 03)" xfId="1886"/>
    <cellStyle name="T_tongket2003-2010 Kg Vu DP" xfId="1887"/>
    <cellStyle name="T_tru so  lan viec phongKH-TC-TM,phong ha tang KT ban QLDA XDCB PNV" xfId="1888"/>
    <cellStyle name="T_TRUONG HOC DINH HINH  - 06PB2 - 03 lung phinh" xfId="1889"/>
    <cellStyle name="T_ÿÿÿÿÿ" xfId="1890"/>
    <cellStyle name="T_ÿÿÿÿÿ_Bieu bao cao von TPCP gd 2003-2010(18.5)" xfId="1891"/>
    <cellStyle name="T_ÿÿÿÿÿ_tongket2003-2010 Kg Vu DP" xfId="1892"/>
    <cellStyle name="Text Indent A" xfId="1893"/>
    <cellStyle name="Text Indent B" xfId="1894"/>
    <cellStyle name="Text Indent C" xfId="1895"/>
    <cellStyle name="th" xfId="1896"/>
    <cellStyle name="than" xfId="1897"/>
    <cellStyle name="Thanh" xfId="1898"/>
    <cellStyle name="þ_x001D_ð¤_x000C_¯þ_x0014_&#13;¨þU_x0001_À_x0004_ _x0015__x000F__x0001__x0001_" xfId="1899"/>
    <cellStyle name="þ_x001D_ð·_x000C_æþ'&#13;ßþU_x0001_Ø_x0005_ü_x0014__x0007__x0001__x0001_" xfId="1900"/>
    <cellStyle name="þ_x001D_ðÇ%Uý—&amp;Hý9_x0008_Ÿ s&#10;_x0007__x0001__x0001_" xfId="1901"/>
    <cellStyle name="þ_x001D_ðK_x000C_Fý_x001B_&#13;9" xfId="1902"/>
    <cellStyle name="þ_x001D_ðK_x000C_Fý_x001B_&#13;9ýU_x0001_Ð_x0008_¦)_x0007__x0001__x0001_" xfId="1903"/>
    <cellStyle name="thuong-10" xfId="1904"/>
    <cellStyle name="thuong-11" xfId="1905"/>
    <cellStyle name="Thuyet minh" xfId="1906"/>
    <cellStyle name="Tiªu ®Ì" xfId="1907"/>
    <cellStyle name="Tien1" xfId="1908"/>
    <cellStyle name="Tieu_de_2" xfId="1909"/>
    <cellStyle name="Times New Roman" xfId="1910"/>
    <cellStyle name="TiÓu môc" xfId="1911"/>
    <cellStyle name="tit1" xfId="1912"/>
    <cellStyle name="tit2" xfId="1913"/>
    <cellStyle name="tit3" xfId="1914"/>
    <cellStyle name="tit4" xfId="1915"/>
    <cellStyle name="Title" xfId="1916"/>
    <cellStyle name="Title 10" xfId="1917"/>
    <cellStyle name="Title 11" xfId="1918"/>
    <cellStyle name="Title 12" xfId="1919"/>
    <cellStyle name="Title 13" xfId="1920"/>
    <cellStyle name="Title 14" xfId="1921"/>
    <cellStyle name="Title 2" xfId="1922"/>
    <cellStyle name="Title 3" xfId="1923"/>
    <cellStyle name="Title 4" xfId="1924"/>
    <cellStyle name="Title 5" xfId="1925"/>
    <cellStyle name="Title 6" xfId="1926"/>
    <cellStyle name="Title 7" xfId="1927"/>
    <cellStyle name="Title 8" xfId="1928"/>
    <cellStyle name="Title 9" xfId="1929"/>
    <cellStyle name="Tongcong" xfId="1930"/>
    <cellStyle name="Total" xfId="1931"/>
    <cellStyle name="Total 10" xfId="1932"/>
    <cellStyle name="Total 11" xfId="1933"/>
    <cellStyle name="Total 12" xfId="1934"/>
    <cellStyle name="Total 13" xfId="1935"/>
    <cellStyle name="Total 14" xfId="1936"/>
    <cellStyle name="Total 2" xfId="1937"/>
    <cellStyle name="Total 3" xfId="1938"/>
    <cellStyle name="Total 4" xfId="1939"/>
    <cellStyle name="Total 5" xfId="1940"/>
    <cellStyle name="Total 6" xfId="1941"/>
    <cellStyle name="Total 7" xfId="1942"/>
    <cellStyle name="Total 8" xfId="1943"/>
    <cellStyle name="Total 9" xfId="1944"/>
    <cellStyle name="trang" xfId="1945"/>
    <cellStyle name="ts" xfId="1946"/>
    <cellStyle name="tt1" xfId="1947"/>
    <cellStyle name="Tusental (0)_pldt" xfId="1948"/>
    <cellStyle name="Tusental_pldt" xfId="1949"/>
    <cellStyle name="UNIDAGSCode" xfId="1950"/>
    <cellStyle name="UNIDAGSCode2" xfId="1951"/>
    <cellStyle name="UNIDAGSCurrency" xfId="1952"/>
    <cellStyle name="UNIDAGSDate" xfId="1953"/>
    <cellStyle name="UNIDAGSPercent" xfId="1954"/>
    <cellStyle name="UNIDAGSPercent2" xfId="1955"/>
    <cellStyle name="ux_3_¼­¿ï-¾È»ê" xfId="1956"/>
    <cellStyle name="Valuta (0)_pldt" xfId="1957"/>
    <cellStyle name="Valuta_pldt" xfId="1958"/>
    <cellStyle name="VANG1" xfId="1959"/>
    <cellStyle name="viet" xfId="1960"/>
    <cellStyle name="viet2" xfId="1961"/>
    <cellStyle name="VLB-GTKÕ" xfId="1962"/>
    <cellStyle name="VN new romanNormal" xfId="1963"/>
    <cellStyle name="Vn Time 13" xfId="1964"/>
    <cellStyle name="Vn Time 14" xfId="1965"/>
    <cellStyle name="VN time new roman" xfId="1966"/>
    <cellStyle name="vn_time" xfId="1967"/>
    <cellStyle name="vnbo" xfId="1968"/>
    <cellStyle name="vnhead1" xfId="1969"/>
    <cellStyle name="vnhead2" xfId="1970"/>
    <cellStyle name="vnhead3" xfId="1971"/>
    <cellStyle name="vnhead4" xfId="1972"/>
    <cellStyle name="vntxt1" xfId="1973"/>
    <cellStyle name="vntxt2" xfId="1974"/>
    <cellStyle name="W?hrung [0]_35ERI8T2gbIEMixb4v26icuOo" xfId="1975"/>
    <cellStyle name="W?hrung_35ERI8T2gbIEMixb4v26icuOo" xfId="1976"/>
    <cellStyle name="Währung [0]_9. Fixed assets-Additions list" xfId="1977"/>
    <cellStyle name="Währung_9. Fixed assets-Additions list" xfId="1978"/>
    <cellStyle name="Walutowy [0]_Invoices2001Slovakia" xfId="1979"/>
    <cellStyle name="Walutowy_Invoices2001Slovakia" xfId="1980"/>
    <cellStyle name="Warning Text" xfId="1981"/>
    <cellStyle name="Warning Text 10" xfId="1982"/>
    <cellStyle name="Warning Text 11" xfId="1983"/>
    <cellStyle name="Warning Text 12" xfId="1984"/>
    <cellStyle name="Warning Text 13" xfId="1985"/>
    <cellStyle name="Warning Text 14" xfId="1986"/>
    <cellStyle name="Warning Text 2" xfId="1987"/>
    <cellStyle name="Warning Text 3" xfId="1988"/>
    <cellStyle name="Warning Text 4" xfId="1989"/>
    <cellStyle name="Warning Text 5" xfId="1990"/>
    <cellStyle name="Warning Text 6" xfId="1991"/>
    <cellStyle name="Warning Text 7" xfId="1992"/>
    <cellStyle name="Warning Text 8" xfId="1993"/>
    <cellStyle name="Warning Text 9" xfId="1994"/>
    <cellStyle name="wrap" xfId="1995"/>
    <cellStyle name="Wไhrung [0]_35ERI8T2gbIEMixb4v26icuOo" xfId="1996"/>
    <cellStyle name="Wไhrung_35ERI8T2gbIEMixb4v26icuOo" xfId="1997"/>
    <cellStyle name="xuan" xfId="1998"/>
    <cellStyle name="y" xfId="1999"/>
    <cellStyle name="Ý kh¸c_B¶ng 1 (2)" xfId="2000"/>
    <cellStyle name="Zeilenebene_1_主营业务利润明细表" xfId="2001"/>
    <cellStyle name="センター" xfId="2002"/>
    <cellStyle name=" [0.00]_ Att. 1- Cover" xfId="2003"/>
    <cellStyle name="_ Att. 1- Cover" xfId="2004"/>
    <cellStyle name="?_ Att. 1- Cover" xfId="2005"/>
    <cellStyle name="똿뗦먛귟 [0.00]_PRODUCT DETAIL Q1" xfId="2006"/>
    <cellStyle name="똿뗦먛귟_PRODUCT DETAIL Q1" xfId="2007"/>
    <cellStyle name="믅됞 [0.00]_PRODUCT DETAIL Q1" xfId="2008"/>
    <cellStyle name="믅됞_PRODUCT DETAIL Q1" xfId="2009"/>
    <cellStyle name="백분율_††††† " xfId="2010"/>
    <cellStyle name="뷭?_BOOKSHIP" xfId="2011"/>
    <cellStyle name="안건회계법인" xfId="2012"/>
    <cellStyle name="콤마 [ - 유형1" xfId="2013"/>
    <cellStyle name="콤마 [ - 유형2" xfId="2014"/>
    <cellStyle name="콤마 [ - 유형3" xfId="2015"/>
    <cellStyle name="콤마 [ - 유형4" xfId="2016"/>
    <cellStyle name="콤마 [ - 유형5" xfId="2017"/>
    <cellStyle name="콤마 [ - 유형6" xfId="2018"/>
    <cellStyle name="콤마 [ - 유형7" xfId="2019"/>
    <cellStyle name="콤마 [ - 유형8" xfId="2020"/>
    <cellStyle name="콤마 [0]_ 비목별 월별기술 " xfId="2021"/>
    <cellStyle name="콤마_ 비목별 월별기술 " xfId="2022"/>
    <cellStyle name="통화 [0]_††††† " xfId="2023"/>
    <cellStyle name="통화_††††† " xfId="2024"/>
    <cellStyle name="표준_ 97년 경영분석(안)" xfId="2025"/>
    <cellStyle name="표줠_Sheet1_1_총괄표 (수출입) (2)" xfId="2026"/>
    <cellStyle name="一般_00Q3902REV.1" xfId="2027"/>
    <cellStyle name="千位[0]_pldt" xfId="2028"/>
    <cellStyle name="千位_pldt" xfId="2029"/>
    <cellStyle name="千位分隔_PLDT" xfId="2030"/>
    <cellStyle name="千分位[0]_00Q3902REV.1" xfId="2031"/>
    <cellStyle name="千分位_00Q3902REV.1" xfId="2032"/>
    <cellStyle name="后继超级链接_销售公司-2002年报表体系（12.21）" xfId="2033"/>
    <cellStyle name="已瀏覽過的超連結" xfId="2034"/>
    <cellStyle name="常?_Sales Forecast - TCLVN" xfId="2035"/>
    <cellStyle name="常规_4403-200312" xfId="2036"/>
    <cellStyle name="桁区切り [0.00]_††††† " xfId="2037"/>
    <cellStyle name="桁区切り_††††† " xfId="2038"/>
    <cellStyle name="標準_#265_Rebates and Pricing" xfId="2039"/>
    <cellStyle name="貨幣 [0]_00Q3902REV.1" xfId="2040"/>
    <cellStyle name="貨幣[0]_BRE" xfId="2041"/>
    <cellStyle name="貨幣_00Q3902REV.1" xfId="2042"/>
    <cellStyle name="超级链接_销售公司-2002年报表体系（12.21）" xfId="2043"/>
    <cellStyle name="超連結" xfId="2044"/>
    <cellStyle name="超連結_x000F_" xfId="2045"/>
    <cellStyle name="超連結&#13;" xfId="2046"/>
    <cellStyle name="超連結??汸" xfId="2047"/>
    <cellStyle name="超連結?w?" xfId="2048"/>
    <cellStyle name="超連結?潒?" xfId="2049"/>
    <cellStyle name="超連結♇⹡汸" xfId="2050"/>
    <cellStyle name="超連結⁷潒慭" xfId="2051"/>
    <cellStyle name="超連結敎w慭" xfId="2052"/>
    <cellStyle name="通貨 [0.00]_††††† " xfId="2053"/>
    <cellStyle name="通貨_††††† " xfId="2054"/>
    <cellStyle name="隨後的超連結" xfId="2055"/>
    <cellStyle name="隨後的超連結n_x0003_" xfId="2056"/>
    <cellStyle name="隨後的超連結n汸s?呃L" xfId="2057"/>
    <cellStyle name="隨後的超連結n汸s䱘呃L" xfId="2058"/>
    <cellStyle name="隨後的超連結s?呃L?R" xfId="2059"/>
    <cellStyle name="隨後的超連結s䱘呃L䄀R" xfId="20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wnloads\4.23.%20Bi&#7875;u%20m&#7851;u%20t&#7893;ng%20quy&#7871;t%20to&#225;n%202022%20TT342%20B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UYEN.KT\huyen%20usb\N&#258;M%202024\T&#7892;NG%20QT%202023\QT%20NS%20X&#195;%202023(tuy&#7873;n)\QT%20NS%20X&#195;%202023\Bi&#7875;u%20t&#7893;ng%20quy&#7871;t%20to&#225;n%20N&#272;31%20n&#259;m%202023%20(Tuy&#7873;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Bi&#7875;u%20m&#7851;u%20t&#7893;ng%20quy&#7871;t%20to&#225;n%202023%20TT342%20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ểu 60"/>
      <sheetName val="biểu 61"/>
      <sheetName val="biểu 62"/>
      <sheetName val="biểu 63.1"/>
      <sheetName val="biểu 63.2"/>
      <sheetName val="biểu 63.3"/>
      <sheetName val="biểu 64.1"/>
      <sheetName val="biểu 64.2"/>
      <sheetName val="biểu 64.3"/>
      <sheetName val="biểu 65"/>
      <sheetName val="biểu 66"/>
      <sheetName val="biểu 67"/>
      <sheetName val="biểu 68"/>
      <sheetName val="biểu 69"/>
      <sheetName val="biểu 70"/>
    </sheetNames>
    <sheetDataSet>
      <sheetData sheetId="2">
        <row r="32">
          <cell r="E32">
            <v>256287.26499999998</v>
          </cell>
        </row>
        <row r="46">
          <cell r="E46">
            <v>89091.625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eu 48 "/>
      <sheetName val="bieu 49"/>
      <sheetName val="bieu 50"/>
      <sheetName val="bieu 51"/>
      <sheetName val="bieu 52"/>
      <sheetName val="bieu 53"/>
      <sheetName val="bieu 54"/>
      <sheetName val="bieu 55"/>
      <sheetName val="bieu 56"/>
      <sheetName val="biểu 57"/>
      <sheetName val="biểu 58"/>
      <sheetName val="bieu 59"/>
      <sheetName val="bieu 60"/>
      <sheetName val="bieu 61"/>
      <sheetName val="biểu 62_D"/>
      <sheetName val="biểu 63"/>
      <sheetName val="biểu 64"/>
    </sheetNames>
    <sheetDataSet>
      <sheetData sheetId="6">
        <row r="110">
          <cell r="E110">
            <v>5446.26</v>
          </cell>
        </row>
        <row r="111">
          <cell r="E111">
            <v>5150.49</v>
          </cell>
        </row>
        <row r="112">
          <cell r="E112">
            <v>5125.6</v>
          </cell>
        </row>
        <row r="113">
          <cell r="E113">
            <v>6338.48</v>
          </cell>
        </row>
        <row r="114">
          <cell r="E114">
            <v>4606.64</v>
          </cell>
        </row>
        <row r="115">
          <cell r="E115">
            <v>3630.93</v>
          </cell>
        </row>
        <row r="116">
          <cell r="E116">
            <v>3838.93</v>
          </cell>
        </row>
        <row r="117">
          <cell r="E117">
            <v>4246.31</v>
          </cell>
        </row>
        <row r="118">
          <cell r="E118">
            <v>4381.59</v>
          </cell>
        </row>
        <row r="119">
          <cell r="E119">
            <v>3851.55</v>
          </cell>
        </row>
        <row r="120">
          <cell r="E120">
            <v>4295.81</v>
          </cell>
        </row>
        <row r="121">
          <cell r="E121">
            <v>5497.62</v>
          </cell>
        </row>
        <row r="122">
          <cell r="E122">
            <v>4323.31</v>
          </cell>
        </row>
        <row r="123">
          <cell r="E123">
            <v>4465.78</v>
          </cell>
        </row>
        <row r="124">
          <cell r="E124">
            <v>4478.9</v>
          </cell>
        </row>
        <row r="125">
          <cell r="E125">
            <v>5110.71</v>
          </cell>
        </row>
        <row r="126">
          <cell r="E126">
            <v>4092.43</v>
          </cell>
        </row>
      </sheetData>
      <sheetData sheetId="12">
        <row r="10">
          <cell r="E10">
            <v>3080.23</v>
          </cell>
          <cell r="I10">
            <v>296.347</v>
          </cell>
        </row>
        <row r="11">
          <cell r="E11">
            <v>5349.83</v>
          </cell>
          <cell r="I11">
            <v>1879.696</v>
          </cell>
        </row>
        <row r="12">
          <cell r="E12">
            <v>5190.75</v>
          </cell>
          <cell r="I12">
            <v>1440.184</v>
          </cell>
        </row>
        <row r="13">
          <cell r="E13">
            <v>5112.44</v>
          </cell>
          <cell r="I13">
            <v>358.978</v>
          </cell>
        </row>
        <row r="14">
          <cell r="E14">
            <v>6434.29</v>
          </cell>
          <cell r="I14">
            <v>8250.133</v>
          </cell>
        </row>
        <row r="15">
          <cell r="E15">
            <v>4633.08</v>
          </cell>
          <cell r="I15">
            <v>1175.718</v>
          </cell>
        </row>
        <row r="16">
          <cell r="E16">
            <v>3701.38</v>
          </cell>
          <cell r="I16">
            <v>928.853</v>
          </cell>
        </row>
        <row r="17">
          <cell r="E17">
            <v>3908.75</v>
          </cell>
          <cell r="I17">
            <v>1293.095</v>
          </cell>
        </row>
        <row r="18">
          <cell r="E18">
            <v>4334.68</v>
          </cell>
          <cell r="I18">
            <v>4718.39</v>
          </cell>
        </row>
        <row r="19">
          <cell r="E19">
            <v>4367.8</v>
          </cell>
          <cell r="I19">
            <v>3532.228</v>
          </cell>
        </row>
        <row r="20">
          <cell r="E20">
            <v>3851.63</v>
          </cell>
          <cell r="I20">
            <v>1316.47</v>
          </cell>
        </row>
        <row r="21">
          <cell r="E21">
            <v>4391.22</v>
          </cell>
          <cell r="I21">
            <v>4999.051</v>
          </cell>
        </row>
        <row r="22">
          <cell r="E22">
            <v>5556.27</v>
          </cell>
          <cell r="I22">
            <v>8768.74</v>
          </cell>
        </row>
        <row r="23">
          <cell r="E23">
            <v>4333.3</v>
          </cell>
          <cell r="I23">
            <v>1584.669</v>
          </cell>
        </row>
        <row r="24">
          <cell r="E24">
            <v>4262.26</v>
          </cell>
          <cell r="I24">
            <v>1803.782</v>
          </cell>
        </row>
        <row r="25">
          <cell r="E25">
            <v>4527.16</v>
          </cell>
          <cell r="I25">
            <v>3725.53</v>
          </cell>
        </row>
        <row r="26">
          <cell r="E26">
            <v>5107.23</v>
          </cell>
          <cell r="I26">
            <v>6770.28</v>
          </cell>
        </row>
        <row r="27">
          <cell r="E27">
            <v>4156.07</v>
          </cell>
          <cell r="I27">
            <v>798.87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ểu 60"/>
      <sheetName val="biểu 61"/>
      <sheetName val="biểu 62"/>
      <sheetName val="biểu 63.1"/>
      <sheetName val="biểu 63.2"/>
      <sheetName val="biểu 63.3"/>
      <sheetName val="biểu 64.1"/>
      <sheetName val="biểu 64.2"/>
      <sheetName val="biểu 64.3"/>
      <sheetName val="biểu 65"/>
      <sheetName val="biểu 66"/>
      <sheetName val="biểu 67"/>
      <sheetName val="biểu 68"/>
      <sheetName val="biểu 69"/>
      <sheetName val="biểu 70"/>
    </sheetNames>
    <sheetDataSet>
      <sheetData sheetId="0">
        <row r="8">
          <cell r="B8">
            <v>42996.16099999999</v>
          </cell>
          <cell r="C8">
            <v>37413.282999999996</v>
          </cell>
          <cell r="D8">
            <v>5582.878000000001</v>
          </cell>
        </row>
        <row r="11">
          <cell r="D11">
            <v>308.183</v>
          </cell>
        </row>
        <row r="12">
          <cell r="D12">
            <v>24755.833</v>
          </cell>
          <cell r="F12">
            <v>135939.384</v>
          </cell>
        </row>
        <row r="13">
          <cell r="F13">
            <v>86781.523</v>
          </cell>
        </row>
        <row r="14">
          <cell r="F14">
            <v>9702</v>
          </cell>
        </row>
        <row r="15">
          <cell r="F15">
            <v>407.2</v>
          </cell>
        </row>
        <row r="16">
          <cell r="C16">
            <v>509941.212</v>
          </cell>
        </row>
        <row r="17">
          <cell r="C17">
            <v>203854.04</v>
          </cell>
        </row>
      </sheetData>
      <sheetData sheetId="1">
        <row r="21">
          <cell r="E21">
            <v>55.745</v>
          </cell>
        </row>
        <row r="22">
          <cell r="E22">
            <v>97.432</v>
          </cell>
        </row>
        <row r="28">
          <cell r="C28">
            <v>9430</v>
          </cell>
          <cell r="E28">
            <v>10224.824</v>
          </cell>
        </row>
        <row r="29">
          <cell r="C29">
            <v>450</v>
          </cell>
          <cell r="E29">
            <v>427.111</v>
          </cell>
        </row>
        <row r="30">
          <cell r="C30">
            <v>30</v>
          </cell>
          <cell r="E30">
            <v>32.113</v>
          </cell>
        </row>
        <row r="31">
          <cell r="C31">
            <v>500</v>
          </cell>
          <cell r="E31">
            <v>477.239</v>
          </cell>
        </row>
        <row r="34">
          <cell r="C34">
            <v>3500</v>
          </cell>
          <cell r="E34">
            <v>3970.161</v>
          </cell>
        </row>
        <row r="36">
          <cell r="D36">
            <v>10000</v>
          </cell>
          <cell r="E36">
            <v>18253.475</v>
          </cell>
        </row>
        <row r="37">
          <cell r="C37">
            <v>100</v>
          </cell>
          <cell r="E37">
            <v>306.135</v>
          </cell>
        </row>
        <row r="38">
          <cell r="C38">
            <v>500</v>
          </cell>
          <cell r="E38">
            <v>464.536</v>
          </cell>
        </row>
        <row r="41">
          <cell r="C41">
            <v>4500</v>
          </cell>
          <cell r="E41">
            <v>4795.369000000001</v>
          </cell>
        </row>
        <row r="43">
          <cell r="C43">
            <v>1500</v>
          </cell>
          <cell r="E43">
            <v>1843.895</v>
          </cell>
        </row>
        <row r="44">
          <cell r="E44">
            <v>496.782</v>
          </cell>
        </row>
        <row r="45">
          <cell r="E45">
            <v>519.635</v>
          </cell>
          <cell r="H45">
            <v>519.635</v>
          </cell>
        </row>
        <row r="46">
          <cell r="E46">
            <v>827.478</v>
          </cell>
        </row>
        <row r="47">
          <cell r="C47">
            <v>100</v>
          </cell>
          <cell r="E47">
            <v>130.067</v>
          </cell>
        </row>
        <row r="55">
          <cell r="C55">
            <v>4200</v>
          </cell>
          <cell r="E55">
            <v>7443.378000000001</v>
          </cell>
        </row>
        <row r="58">
          <cell r="C58">
            <v>2500</v>
          </cell>
          <cell r="E58">
            <v>3527.065</v>
          </cell>
        </row>
        <row r="59">
          <cell r="C59">
            <v>200</v>
          </cell>
          <cell r="E59">
            <v>117.929</v>
          </cell>
        </row>
        <row r="60">
          <cell r="E60">
            <v>160.362</v>
          </cell>
        </row>
        <row r="64">
          <cell r="E64">
            <v>1601.401</v>
          </cell>
        </row>
        <row r="65">
          <cell r="E65">
            <v>15.498</v>
          </cell>
        </row>
        <row r="66">
          <cell r="E66">
            <v>351.981</v>
          </cell>
        </row>
        <row r="67">
          <cell r="E67">
            <v>235.588</v>
          </cell>
        </row>
        <row r="68">
          <cell r="C68">
            <v>90</v>
          </cell>
          <cell r="E68">
            <v>86.104</v>
          </cell>
        </row>
        <row r="70">
          <cell r="C70">
            <v>407.2</v>
          </cell>
          <cell r="E70">
            <v>407.2</v>
          </cell>
          <cell r="H70">
            <v>407.2</v>
          </cell>
        </row>
        <row r="71">
          <cell r="E71">
            <v>1002.829</v>
          </cell>
          <cell r="H71">
            <v>1002.829</v>
          </cell>
        </row>
        <row r="72">
          <cell r="E72">
            <v>1437.877</v>
          </cell>
          <cell r="H72">
            <v>1129.694</v>
          </cell>
        </row>
        <row r="73">
          <cell r="E73">
            <v>89091.625</v>
          </cell>
          <cell r="H73">
            <v>64335.792</v>
          </cell>
        </row>
        <row r="87">
          <cell r="C87">
            <v>508905</v>
          </cell>
        </row>
        <row r="88">
          <cell r="C88">
            <v>116168</v>
          </cell>
        </row>
        <row r="91">
          <cell r="E91">
            <v>9702</v>
          </cell>
          <cell r="H91">
            <v>1150</v>
          </cell>
        </row>
      </sheetData>
      <sheetData sheetId="2">
        <row r="11">
          <cell r="D11">
            <v>71159</v>
          </cell>
          <cell r="E11">
            <v>150663.15500000003</v>
          </cell>
        </row>
        <row r="30">
          <cell r="C30">
            <v>7982.48</v>
          </cell>
          <cell r="E30">
            <v>10174.888</v>
          </cell>
        </row>
        <row r="31">
          <cell r="C31">
            <v>2798.98</v>
          </cell>
          <cell r="E31">
            <v>4961.543</v>
          </cell>
        </row>
        <row r="32">
          <cell r="C32">
            <v>271842.76</v>
          </cell>
          <cell r="E32">
            <v>284802.002</v>
          </cell>
        </row>
        <row r="33">
          <cell r="E33">
            <v>35.04</v>
          </cell>
          <cell r="G33">
            <v>35.04</v>
          </cell>
        </row>
        <row r="34">
          <cell r="C34">
            <v>53918.2</v>
          </cell>
          <cell r="E34">
            <v>66909.53899999999</v>
          </cell>
        </row>
        <row r="35">
          <cell r="C35">
            <v>6858.6</v>
          </cell>
          <cell r="E35">
            <v>8523.452000000001</v>
          </cell>
        </row>
        <row r="36">
          <cell r="C36">
            <v>1686</v>
          </cell>
          <cell r="E36">
            <v>1079.161</v>
          </cell>
        </row>
        <row r="37">
          <cell r="C37">
            <v>1890.6100000000001</v>
          </cell>
          <cell r="E37">
            <v>1759.413</v>
          </cell>
        </row>
        <row r="38">
          <cell r="C38">
            <v>2702</v>
          </cell>
          <cell r="E38">
            <v>3097.774</v>
          </cell>
        </row>
        <row r="39">
          <cell r="C39">
            <v>81682.01000000001</v>
          </cell>
          <cell r="E39">
            <v>77436.034</v>
          </cell>
        </row>
        <row r="40">
          <cell r="C40">
            <v>102038.67</v>
          </cell>
          <cell r="E40">
            <v>115084.484</v>
          </cell>
        </row>
        <row r="41">
          <cell r="C41">
            <v>28751</v>
          </cell>
          <cell r="E41">
            <v>24061.426000000003</v>
          </cell>
        </row>
        <row r="42">
          <cell r="C42">
            <v>1330.69</v>
          </cell>
          <cell r="E42">
            <v>2587.992</v>
          </cell>
        </row>
        <row r="43">
          <cell r="C43">
            <v>10718</v>
          </cell>
        </row>
        <row r="44">
          <cell r="D44">
            <v>5000</v>
          </cell>
        </row>
        <row r="46">
          <cell r="E46">
            <v>86781.523</v>
          </cell>
          <cell r="G46">
            <v>53038.232</v>
          </cell>
          <cell r="H46">
            <v>33743.291</v>
          </cell>
        </row>
        <row r="47">
          <cell r="C47">
            <v>6694</v>
          </cell>
        </row>
        <row r="50">
          <cell r="G50">
            <v>82298.37</v>
          </cell>
        </row>
        <row r="51">
          <cell r="G51">
            <v>53641.014</v>
          </cell>
        </row>
        <row r="54">
          <cell r="E54">
            <v>9702</v>
          </cell>
          <cell r="G54">
            <v>8552</v>
          </cell>
          <cell r="H54">
            <v>1150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D12" sqref="D12"/>
    </sheetView>
  </sheetViews>
  <sheetFormatPr defaultColWidth="9.140625" defaultRowHeight="12.75"/>
  <cols>
    <col min="1" max="1" width="4.8515625" style="8" customWidth="1"/>
    <col min="2" max="2" width="52.00390625" style="8" customWidth="1"/>
    <col min="3" max="3" width="12.140625" style="129" customWidth="1"/>
    <col min="4" max="4" width="13.421875" style="129" customWidth="1"/>
    <col min="5" max="5" width="11.421875" style="129" customWidth="1"/>
    <col min="6" max="6" width="11.140625" style="129" customWidth="1"/>
    <col min="7" max="7" width="14.140625" style="8" customWidth="1"/>
    <col min="8" max="8" width="12.00390625" style="8" bestFit="1" customWidth="1"/>
    <col min="9" max="16384" width="9.140625" style="8" customWidth="1"/>
  </cols>
  <sheetData>
    <row r="1" spans="4:6" ht="15">
      <c r="D1" s="807" t="s">
        <v>21</v>
      </c>
      <c r="E1" s="807"/>
      <c r="F1" s="807"/>
    </row>
    <row r="2" spans="4:6" ht="15">
      <c r="D2" s="806" t="s">
        <v>625</v>
      </c>
      <c r="E2" s="806"/>
      <c r="F2" s="806"/>
    </row>
    <row r="3" spans="1:6" ht="21" customHeight="1">
      <c r="A3" s="808" t="s">
        <v>895</v>
      </c>
      <c r="B3" s="808"/>
      <c r="C3" s="808"/>
      <c r="D3" s="808"/>
      <c r="E3" s="808"/>
      <c r="F3" s="808"/>
    </row>
    <row r="4" spans="1:6" ht="15">
      <c r="A4" s="809" t="s">
        <v>903</v>
      </c>
      <c r="B4" s="809"/>
      <c r="C4" s="809"/>
      <c r="D4" s="809"/>
      <c r="E4" s="809"/>
      <c r="F4" s="809"/>
    </row>
    <row r="5" ht="15">
      <c r="F5" s="194" t="s">
        <v>22</v>
      </c>
    </row>
    <row r="6" spans="1:6" s="72" customFormat="1" ht="19.5" customHeight="1">
      <c r="A6" s="810" t="s">
        <v>23</v>
      </c>
      <c r="B6" s="810" t="s">
        <v>24</v>
      </c>
      <c r="C6" s="812" t="s">
        <v>25</v>
      </c>
      <c r="D6" s="812" t="s">
        <v>26</v>
      </c>
      <c r="E6" s="814" t="s">
        <v>27</v>
      </c>
      <c r="F6" s="814"/>
    </row>
    <row r="7" spans="1:6" s="72" customFormat="1" ht="30">
      <c r="A7" s="811"/>
      <c r="B7" s="811"/>
      <c r="C7" s="813"/>
      <c r="D7" s="813"/>
      <c r="E7" s="195" t="s">
        <v>28</v>
      </c>
      <c r="F7" s="195" t="s">
        <v>29</v>
      </c>
    </row>
    <row r="8" spans="1:6" s="7" customFormat="1" ht="12.75">
      <c r="A8" s="444" t="s">
        <v>30</v>
      </c>
      <c r="B8" s="444" t="s">
        <v>31</v>
      </c>
      <c r="C8" s="445">
        <v>1</v>
      </c>
      <c r="D8" s="445">
        <v>2</v>
      </c>
      <c r="E8" s="446" t="s">
        <v>32</v>
      </c>
      <c r="F8" s="446" t="s">
        <v>33</v>
      </c>
    </row>
    <row r="9" spans="1:6" s="27" customFormat="1" ht="15">
      <c r="A9" s="184" t="s">
        <v>30</v>
      </c>
      <c r="B9" s="185" t="s">
        <v>34</v>
      </c>
      <c r="C9" s="245">
        <f>C10+C13+C16+C17+C18</f>
        <v>657083</v>
      </c>
      <c r="D9" s="245">
        <v>849880.956</v>
      </c>
      <c r="E9" s="245">
        <f>D9-C9</f>
        <v>192797.956</v>
      </c>
      <c r="F9" s="246">
        <f>D9/C9</f>
        <v>1.2934149201851213</v>
      </c>
    </row>
    <row r="10" spans="1:6" s="27" customFormat="1" ht="21" customHeight="1">
      <c r="A10" s="186" t="s">
        <v>35</v>
      </c>
      <c r="B10" s="187" t="s">
        <v>36</v>
      </c>
      <c r="C10" s="247">
        <f>C11+C12</f>
        <v>32010</v>
      </c>
      <c r="D10" s="247">
        <f>D11+D12</f>
        <v>42996.16099999999</v>
      </c>
      <c r="E10" s="247">
        <f aca="true" t="shared" si="0" ref="E10:E38">D10-C10</f>
        <v>10986.160999999993</v>
      </c>
      <c r="F10" s="248">
        <f>D10/C10</f>
        <v>1.3432102780381128</v>
      </c>
    </row>
    <row r="11" spans="1:6" ht="21" customHeight="1">
      <c r="A11" s="188" t="s">
        <v>37</v>
      </c>
      <c r="B11" s="189" t="s">
        <v>38</v>
      </c>
      <c r="C11" s="249">
        <v>32010</v>
      </c>
      <c r="D11" s="249">
        <f>'[3]biểu 60'!$B$8</f>
        <v>42996.16099999999</v>
      </c>
      <c r="E11" s="249">
        <f t="shared" si="0"/>
        <v>10986.160999999993</v>
      </c>
      <c r="F11" s="250">
        <f>D11/C11</f>
        <v>1.3432102780381128</v>
      </c>
    </row>
    <row r="12" spans="1:6" ht="21" customHeight="1">
      <c r="A12" s="188" t="s">
        <v>37</v>
      </c>
      <c r="B12" s="189" t="s">
        <v>39</v>
      </c>
      <c r="C12" s="249"/>
      <c r="D12" s="249">
        <v>0</v>
      </c>
      <c r="E12" s="249">
        <f t="shared" si="0"/>
        <v>0</v>
      </c>
      <c r="F12" s="250"/>
    </row>
    <row r="13" spans="1:6" s="27" customFormat="1" ht="21" customHeight="1">
      <c r="A13" s="186" t="s">
        <v>40</v>
      </c>
      <c r="B13" s="187" t="s">
        <v>41</v>
      </c>
      <c r="C13" s="247">
        <f>C14+C15</f>
        <v>625073</v>
      </c>
      <c r="D13" s="247">
        <f>D14+D15</f>
        <v>713795.252</v>
      </c>
      <c r="E13" s="247">
        <f t="shared" si="0"/>
        <v>88722.25199999998</v>
      </c>
      <c r="F13" s="248">
        <f>D13/C13</f>
        <v>1.1419390247219126</v>
      </c>
    </row>
    <row r="14" spans="1:6" ht="21" customHeight="1">
      <c r="A14" s="188">
        <v>1</v>
      </c>
      <c r="B14" s="189" t="s">
        <v>42</v>
      </c>
      <c r="C14" s="249">
        <f>'[3]biểu 61'!$C$87</f>
        <v>508905</v>
      </c>
      <c r="D14" s="249">
        <f>'[3]biểu 60'!$C$16</f>
        <v>509941.212</v>
      </c>
      <c r="E14" s="249">
        <f t="shared" si="0"/>
        <v>1036.2119999999995</v>
      </c>
      <c r="F14" s="250">
        <f>D14/C14</f>
        <v>1.002036159990568</v>
      </c>
    </row>
    <row r="15" spans="1:6" ht="21" customHeight="1">
      <c r="A15" s="188">
        <v>2</v>
      </c>
      <c r="B15" s="189" t="s">
        <v>43</v>
      </c>
      <c r="C15" s="249">
        <f>'[3]biểu 61'!$C$88</f>
        <v>116168</v>
      </c>
      <c r="D15" s="249">
        <f>'[3]biểu 60'!$C$17</f>
        <v>203854.04</v>
      </c>
      <c r="E15" s="249">
        <f t="shared" si="0"/>
        <v>87686.04000000001</v>
      </c>
      <c r="F15" s="250">
        <f>D15/C15</f>
        <v>1.7548209489704567</v>
      </c>
    </row>
    <row r="16" spans="1:6" s="27" customFormat="1" ht="21" customHeight="1">
      <c r="A16" s="186" t="s">
        <v>44</v>
      </c>
      <c r="B16" s="187" t="s">
        <v>45</v>
      </c>
      <c r="C16" s="247">
        <v>0</v>
      </c>
      <c r="D16" s="247"/>
      <c r="E16" s="247">
        <f t="shared" si="0"/>
        <v>0</v>
      </c>
      <c r="F16" s="250"/>
    </row>
    <row r="17" spans="1:6" s="27" customFormat="1" ht="21" customHeight="1">
      <c r="A17" s="186" t="s">
        <v>46</v>
      </c>
      <c r="B17" s="187" t="s">
        <v>47</v>
      </c>
      <c r="C17" s="247"/>
      <c r="D17" s="247">
        <f>'[3]biểu 61'!$E$72</f>
        <v>1437.877</v>
      </c>
      <c r="E17" s="247">
        <f t="shared" si="0"/>
        <v>1437.877</v>
      </c>
      <c r="F17" s="250"/>
    </row>
    <row r="18" spans="1:6" s="27" customFormat="1" ht="21" customHeight="1">
      <c r="A18" s="186" t="s">
        <v>48</v>
      </c>
      <c r="B18" s="187" t="s">
        <v>49</v>
      </c>
      <c r="C18" s="247"/>
      <c r="D18" s="247">
        <f>'[3]biểu 61'!$E$73</f>
        <v>89091.625</v>
      </c>
      <c r="E18" s="247">
        <f t="shared" si="0"/>
        <v>89091.625</v>
      </c>
      <c r="F18" s="250"/>
    </row>
    <row r="19" spans="1:6" s="27" customFormat="1" ht="21" customHeight="1">
      <c r="A19" s="186" t="s">
        <v>119</v>
      </c>
      <c r="B19" s="187" t="s">
        <v>100</v>
      </c>
      <c r="C19" s="247"/>
      <c r="D19" s="247">
        <f>'[3]biểu 61'!$E$70</f>
        <v>407.2</v>
      </c>
      <c r="E19" s="247"/>
      <c r="F19" s="250"/>
    </row>
    <row r="20" spans="1:6" s="27" customFormat="1" ht="21" customHeight="1">
      <c r="A20" s="186" t="s">
        <v>159</v>
      </c>
      <c r="B20" s="790" t="s">
        <v>406</v>
      </c>
      <c r="C20" s="247"/>
      <c r="D20" s="247">
        <f>'[3]biểu 61'!$E$71</f>
        <v>1002.829</v>
      </c>
      <c r="E20" s="247"/>
      <c r="F20" s="250"/>
    </row>
    <row r="21" spans="1:6" s="27" customFormat="1" ht="21" customHeight="1">
      <c r="A21" s="186" t="s">
        <v>901</v>
      </c>
      <c r="B21" s="187" t="s">
        <v>335</v>
      </c>
      <c r="C21" s="247"/>
      <c r="D21" s="247">
        <f>'[3]biểu 61'!$H$91</f>
        <v>1150</v>
      </c>
      <c r="E21" s="247"/>
      <c r="F21" s="250"/>
    </row>
    <row r="22" spans="1:8" s="27" customFormat="1" ht="21" customHeight="1">
      <c r="A22" s="186" t="s">
        <v>31</v>
      </c>
      <c r="B22" s="187" t="s">
        <v>50</v>
      </c>
      <c r="C22" s="247">
        <f>C23+C30+C33+C34+C35+C36+C37</f>
        <v>657083</v>
      </c>
      <c r="D22" s="247">
        <f>D23+D30+D33+D34+D35+D36+D37</f>
        <v>848066.6259999999</v>
      </c>
      <c r="E22" s="247">
        <f t="shared" si="0"/>
        <v>190983.62599999993</v>
      </c>
      <c r="F22" s="248">
        <f>D22/C22</f>
        <v>1.2906537317203457</v>
      </c>
      <c r="G22" s="441">
        <v>848066.626</v>
      </c>
      <c r="H22" s="441">
        <f>D22-G22</f>
        <v>0</v>
      </c>
    </row>
    <row r="23" spans="1:8" s="27" customFormat="1" ht="21" customHeight="1">
      <c r="A23" s="186" t="s">
        <v>35</v>
      </c>
      <c r="B23" s="187" t="s">
        <v>51</v>
      </c>
      <c r="C23" s="247">
        <f>C24+C25+C26+C27+C28+C29</f>
        <v>535915</v>
      </c>
      <c r="D23" s="247">
        <f>D24+D25+D26+D27+D28+D29</f>
        <v>603184.463</v>
      </c>
      <c r="E23" s="247">
        <f>E24+E25+E26+E27+E28+E29</f>
        <v>73289.53299999998</v>
      </c>
      <c r="F23" s="248">
        <f>D23/C23</f>
        <v>1.1255226351193752</v>
      </c>
      <c r="H23" s="441"/>
    </row>
    <row r="24" spans="1:7" ht="21" customHeight="1">
      <c r="A24" s="188">
        <v>1</v>
      </c>
      <c r="B24" s="189" t="s">
        <v>52</v>
      </c>
      <c r="C24" s="249">
        <v>14608</v>
      </c>
      <c r="D24" s="249">
        <f>150663.155-112315.08</f>
        <v>38348.075</v>
      </c>
      <c r="E24" s="249">
        <f t="shared" si="0"/>
        <v>23740.074999999997</v>
      </c>
      <c r="F24" s="250">
        <f>D24/C24</f>
        <v>2.6251420454545453</v>
      </c>
      <c r="G24" s="249">
        <v>112315.078</v>
      </c>
    </row>
    <row r="25" spans="1:8" ht="21" customHeight="1">
      <c r="A25" s="188">
        <v>2</v>
      </c>
      <c r="B25" s="189" t="s">
        <v>53</v>
      </c>
      <c r="C25" s="249">
        <v>503895</v>
      </c>
      <c r="D25" s="249">
        <f>600512.748-4697.93-35676.36</f>
        <v>560138.458</v>
      </c>
      <c r="E25" s="249">
        <f t="shared" si="0"/>
        <v>56243.457999999984</v>
      </c>
      <c r="F25" s="250">
        <f>D25/C25</f>
        <v>1.111617416326814</v>
      </c>
      <c r="G25" s="249">
        <f>36127.73-451.368</f>
        <v>35676.362</v>
      </c>
      <c r="H25" s="249"/>
    </row>
    <row r="26" spans="1:6" ht="21" customHeight="1">
      <c r="A26" s="188">
        <v>3</v>
      </c>
      <c r="B26" s="189" t="s">
        <v>54</v>
      </c>
      <c r="C26" s="249"/>
      <c r="D26" s="249"/>
      <c r="E26" s="249">
        <f t="shared" si="0"/>
        <v>0</v>
      </c>
      <c r="F26" s="250"/>
    </row>
    <row r="27" spans="1:6" ht="21" customHeight="1">
      <c r="A27" s="188">
        <v>4</v>
      </c>
      <c r="B27" s="189" t="s">
        <v>55</v>
      </c>
      <c r="C27" s="249"/>
      <c r="D27" s="249"/>
      <c r="E27" s="249">
        <f t="shared" si="0"/>
        <v>0</v>
      </c>
      <c r="F27" s="250"/>
    </row>
    <row r="28" spans="1:8" ht="21" customHeight="1">
      <c r="A28" s="188">
        <v>5</v>
      </c>
      <c r="B28" s="189" t="s">
        <v>56</v>
      </c>
      <c r="C28" s="249">
        <v>10718</v>
      </c>
      <c r="D28" s="249">
        <v>4697.93</v>
      </c>
      <c r="E28" s="249"/>
      <c r="F28" s="250">
        <f>D28/C28</f>
        <v>0.43832151520806123</v>
      </c>
      <c r="H28" s="249">
        <v>4697.93</v>
      </c>
    </row>
    <row r="29" spans="1:6" ht="21" customHeight="1">
      <c r="A29" s="188">
        <v>6</v>
      </c>
      <c r="B29" s="189" t="s">
        <v>57</v>
      </c>
      <c r="C29" s="249">
        <f>'[3]biểu 62'!$C$47</f>
        <v>6694</v>
      </c>
      <c r="D29" s="249"/>
      <c r="E29" s="249">
        <f t="shared" si="0"/>
        <v>-6694</v>
      </c>
      <c r="F29" s="250"/>
    </row>
    <row r="30" spans="1:6" s="27" customFormat="1" ht="21" customHeight="1">
      <c r="A30" s="186" t="s">
        <v>40</v>
      </c>
      <c r="B30" s="187" t="s">
        <v>58</v>
      </c>
      <c r="C30" s="247">
        <f>C31+C32</f>
        <v>116168</v>
      </c>
      <c r="D30" s="247">
        <f>D31+D32</f>
        <v>147991.44</v>
      </c>
      <c r="E30" s="247">
        <f t="shared" si="0"/>
        <v>31823.440000000002</v>
      </c>
      <c r="F30" s="248"/>
    </row>
    <row r="31" spans="1:7" ht="21" customHeight="1">
      <c r="A31" s="188">
        <v>1</v>
      </c>
      <c r="B31" s="189" t="s">
        <v>59</v>
      </c>
      <c r="C31" s="249">
        <v>116168</v>
      </c>
      <c r="D31" s="249">
        <v>147991.44</v>
      </c>
      <c r="E31" s="249">
        <f t="shared" si="0"/>
        <v>31823.440000000002</v>
      </c>
      <c r="F31" s="250"/>
      <c r="G31" s="129">
        <f>G24+G25</f>
        <v>147991.44</v>
      </c>
    </row>
    <row r="32" spans="1:6" ht="21" customHeight="1">
      <c r="A32" s="188">
        <v>2</v>
      </c>
      <c r="B32" s="189" t="s">
        <v>60</v>
      </c>
      <c r="C32" s="249"/>
      <c r="D32" s="249"/>
      <c r="E32" s="249">
        <f t="shared" si="0"/>
        <v>0</v>
      </c>
      <c r="F32" s="250"/>
    </row>
    <row r="33" spans="1:6" s="27" customFormat="1" ht="21" customHeight="1">
      <c r="A33" s="186" t="s">
        <v>44</v>
      </c>
      <c r="B33" s="187" t="s">
        <v>61</v>
      </c>
      <c r="C33" s="247"/>
      <c r="D33" s="247">
        <f>'[3]biểu 60'!$F$13</f>
        <v>86781.523</v>
      </c>
      <c r="E33" s="247">
        <f t="shared" si="0"/>
        <v>86781.523</v>
      </c>
      <c r="F33" s="248"/>
    </row>
    <row r="34" spans="1:6" s="27" customFormat="1" ht="21" customHeight="1">
      <c r="A34" s="186" t="s">
        <v>46</v>
      </c>
      <c r="B34" s="187" t="s">
        <v>336</v>
      </c>
      <c r="C34" s="247"/>
      <c r="D34" s="247"/>
      <c r="E34" s="247"/>
      <c r="F34" s="248"/>
    </row>
    <row r="35" spans="1:6" s="27" customFormat="1" ht="21" customHeight="1">
      <c r="A35" s="369" t="s">
        <v>48</v>
      </c>
      <c r="B35" s="370" t="s">
        <v>337</v>
      </c>
      <c r="C35" s="371"/>
      <c r="D35" s="371">
        <f>'[3]biểu 60'!$F$14</f>
        <v>9702</v>
      </c>
      <c r="E35" s="371">
        <f t="shared" si="0"/>
        <v>9702</v>
      </c>
      <c r="F35" s="372"/>
    </row>
    <row r="36" spans="1:6" s="27" customFormat="1" ht="21" customHeight="1">
      <c r="A36" s="310" t="s">
        <v>119</v>
      </c>
      <c r="B36" s="373" t="s">
        <v>338</v>
      </c>
      <c r="C36" s="374">
        <v>5000</v>
      </c>
      <c r="D36" s="374"/>
      <c r="E36" s="371">
        <f t="shared" si="0"/>
        <v>-5000</v>
      </c>
      <c r="F36" s="375"/>
    </row>
    <row r="37" spans="1:6" s="27" customFormat="1" ht="21" customHeight="1">
      <c r="A37" s="310" t="s">
        <v>159</v>
      </c>
      <c r="B37" s="378" t="s">
        <v>721</v>
      </c>
      <c r="C37" s="374"/>
      <c r="D37" s="374">
        <f>'[3]biểu 60'!$F$15</f>
        <v>407.2</v>
      </c>
      <c r="E37" s="371">
        <f t="shared" si="0"/>
        <v>407.2</v>
      </c>
      <c r="F37" s="375"/>
    </row>
    <row r="38" spans="1:6" ht="21" customHeight="1">
      <c r="A38" s="310" t="s">
        <v>62</v>
      </c>
      <c r="B38" s="373" t="s">
        <v>63</v>
      </c>
      <c r="C38" s="376"/>
      <c r="D38" s="374">
        <f>D9-D22</f>
        <v>1814.3300000000745</v>
      </c>
      <c r="E38" s="371">
        <f t="shared" si="0"/>
        <v>1814.3300000000745</v>
      </c>
      <c r="F38" s="377"/>
    </row>
    <row r="39" spans="1:6" ht="21" customHeight="1">
      <c r="A39" s="184" t="s">
        <v>64</v>
      </c>
      <c r="B39" s="185" t="s">
        <v>65</v>
      </c>
      <c r="C39" s="368"/>
      <c r="D39" s="368"/>
      <c r="E39" s="368"/>
      <c r="F39" s="368"/>
    </row>
    <row r="40" spans="1:6" ht="21" customHeight="1">
      <c r="A40" s="186" t="s">
        <v>35</v>
      </c>
      <c r="B40" s="187" t="s">
        <v>66</v>
      </c>
      <c r="C40" s="251"/>
      <c r="D40" s="251"/>
      <c r="E40" s="251"/>
      <c r="F40" s="251"/>
    </row>
    <row r="41" spans="1:6" ht="30">
      <c r="A41" s="186" t="s">
        <v>40</v>
      </c>
      <c r="B41" s="187" t="s">
        <v>67</v>
      </c>
      <c r="C41" s="251"/>
      <c r="D41" s="251"/>
      <c r="E41" s="251"/>
      <c r="F41" s="251"/>
    </row>
    <row r="42" spans="1:6" ht="19.5" customHeight="1">
      <c r="A42" s="186" t="s">
        <v>68</v>
      </c>
      <c r="B42" s="187" t="s">
        <v>69</v>
      </c>
      <c r="C42" s="251"/>
      <c r="D42" s="251"/>
      <c r="E42" s="251"/>
      <c r="F42" s="251"/>
    </row>
    <row r="43" spans="1:6" ht="19.5" customHeight="1">
      <c r="A43" s="186" t="s">
        <v>35</v>
      </c>
      <c r="B43" s="187" t="s">
        <v>70</v>
      </c>
      <c r="C43" s="251"/>
      <c r="D43" s="251"/>
      <c r="E43" s="251"/>
      <c r="F43" s="251"/>
    </row>
    <row r="44" spans="1:6" ht="19.5" customHeight="1">
      <c r="A44" s="186" t="s">
        <v>40</v>
      </c>
      <c r="B44" s="187" t="s">
        <v>71</v>
      </c>
      <c r="C44" s="251"/>
      <c r="D44" s="251"/>
      <c r="E44" s="251"/>
      <c r="F44" s="251"/>
    </row>
    <row r="45" spans="1:6" ht="19.5" customHeight="1">
      <c r="A45" s="190" t="s">
        <v>72</v>
      </c>
      <c r="B45" s="191" t="s">
        <v>73</v>
      </c>
      <c r="C45" s="252"/>
      <c r="D45" s="252"/>
      <c r="E45" s="252"/>
      <c r="F45" s="252"/>
    </row>
    <row r="46" spans="1:6" ht="15">
      <c r="A46" s="196"/>
      <c r="B46" s="197"/>
      <c r="C46" s="197"/>
      <c r="D46" s="197"/>
      <c r="E46" s="197"/>
      <c r="F46" s="197"/>
    </row>
  </sheetData>
  <sheetProtection/>
  <mergeCells count="9">
    <mergeCell ref="D2:F2"/>
    <mergeCell ref="D1:F1"/>
    <mergeCell ref="A3:F3"/>
    <mergeCell ref="A4:F4"/>
    <mergeCell ref="A6:A7"/>
    <mergeCell ref="B6:B7"/>
    <mergeCell ref="C6:C7"/>
    <mergeCell ref="D6:D7"/>
    <mergeCell ref="E6:F6"/>
  </mergeCells>
  <printOptions horizontalCentered="1"/>
  <pageMargins left="0.7480314960629921" right="0.1968503937007874" top="0.5905511811023623" bottom="0.4330708661417323"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Q135"/>
  <sheetViews>
    <sheetView zoomScale="85" zoomScaleNormal="8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4" sqref="A4:K4"/>
    </sheetView>
  </sheetViews>
  <sheetFormatPr defaultColWidth="8.8515625" defaultRowHeight="12.75"/>
  <cols>
    <col min="1" max="1" width="5.421875" style="140" customWidth="1"/>
    <col min="2" max="2" width="24.57421875" style="140" customWidth="1"/>
    <col min="3" max="3" width="13.57421875" style="141" customWidth="1"/>
    <col min="4" max="4" width="14.28125" style="140" customWidth="1"/>
    <col min="5" max="5" width="13.140625" style="140" customWidth="1"/>
    <col min="6" max="6" width="12.8515625" style="140" customWidth="1"/>
    <col min="7" max="7" width="11.28125" style="140" customWidth="1"/>
    <col min="8" max="8" width="13.7109375" style="140" customWidth="1"/>
    <col min="9" max="9" width="12.8515625" style="140" customWidth="1"/>
    <col min="10" max="10" width="13.00390625" style="140" customWidth="1"/>
    <col min="11" max="11" width="11.8515625" style="140" customWidth="1"/>
    <col min="12" max="12" width="23.28125" style="141" customWidth="1"/>
    <col min="13" max="13" width="16.8515625" style="141" customWidth="1"/>
    <col min="14" max="14" width="13.7109375" style="140" customWidth="1"/>
    <col min="15" max="15" width="9.140625" style="140" customWidth="1"/>
    <col min="16" max="16" width="11.28125" style="140" customWidth="1"/>
    <col min="17" max="17" width="10.8515625" style="140" bestFit="1" customWidth="1"/>
    <col min="18" max="16384" width="8.8515625" style="140" customWidth="1"/>
  </cols>
  <sheetData>
    <row r="1" spans="8:11" ht="18">
      <c r="H1" s="845" t="s">
        <v>169</v>
      </c>
      <c r="I1" s="845"/>
      <c r="J1" s="845"/>
      <c r="K1" s="845"/>
    </row>
    <row r="2" spans="8:11" ht="18">
      <c r="H2" s="846" t="s">
        <v>625</v>
      </c>
      <c r="I2" s="846"/>
      <c r="J2" s="846"/>
      <c r="K2" s="846"/>
    </row>
    <row r="3" spans="1:11" ht="44.25" customHeight="1">
      <c r="A3" s="849" t="s">
        <v>730</v>
      </c>
      <c r="B3" s="849"/>
      <c r="C3" s="849"/>
      <c r="D3" s="849"/>
      <c r="E3" s="849"/>
      <c r="F3" s="849"/>
      <c r="G3" s="849"/>
      <c r="H3" s="849"/>
      <c r="I3" s="849"/>
      <c r="J3" s="849"/>
      <c r="K3" s="849"/>
    </row>
    <row r="4" spans="1:11" ht="18">
      <c r="A4" s="850" t="str">
        <f>'bieu 48 '!A4:F4</f>
        <v>(Kèm theo Báo cáo số 627/BC-UBND ngày 10 tháng 7 năm 2024 của UBND huyện Bắc Sơn)</v>
      </c>
      <c r="B4" s="850"/>
      <c r="C4" s="850"/>
      <c r="D4" s="850"/>
      <c r="E4" s="850"/>
      <c r="F4" s="850"/>
      <c r="G4" s="850"/>
      <c r="H4" s="850"/>
      <c r="I4" s="850"/>
      <c r="J4" s="850"/>
      <c r="K4" s="850"/>
    </row>
    <row r="5" spans="1:13" s="150" customFormat="1" ht="18">
      <c r="A5" s="140"/>
      <c r="B5" s="140"/>
      <c r="C5" s="141"/>
      <c r="D5" s="140"/>
      <c r="E5" s="140"/>
      <c r="F5" s="140"/>
      <c r="G5" s="140"/>
      <c r="H5" s="140"/>
      <c r="I5" s="140"/>
      <c r="J5" s="140"/>
      <c r="K5" s="352" t="s">
        <v>22</v>
      </c>
      <c r="L5" s="533"/>
      <c r="M5" s="533"/>
    </row>
    <row r="6" spans="1:14" s="150" customFormat="1" ht="18">
      <c r="A6" s="847" t="s">
        <v>23</v>
      </c>
      <c r="B6" s="847" t="s">
        <v>153</v>
      </c>
      <c r="C6" s="848" t="s">
        <v>287</v>
      </c>
      <c r="D6" s="847" t="s">
        <v>170</v>
      </c>
      <c r="E6" s="847" t="s">
        <v>144</v>
      </c>
      <c r="F6" s="847"/>
      <c r="G6" s="847"/>
      <c r="H6" s="838" t="s">
        <v>171</v>
      </c>
      <c r="I6" s="838" t="s">
        <v>172</v>
      </c>
      <c r="J6" s="838" t="s">
        <v>163</v>
      </c>
      <c r="K6" s="838"/>
      <c r="L6" s="141"/>
      <c r="M6" s="141"/>
      <c r="N6" s="140"/>
    </row>
    <row r="7" spans="1:14" s="49" customFormat="1" ht="44.25" customHeight="1">
      <c r="A7" s="847"/>
      <c r="B7" s="847"/>
      <c r="C7" s="848"/>
      <c r="D7" s="847"/>
      <c r="E7" s="56" t="s">
        <v>173</v>
      </c>
      <c r="F7" s="519" t="s">
        <v>780</v>
      </c>
      <c r="G7" s="519" t="s">
        <v>781</v>
      </c>
      <c r="H7" s="838"/>
      <c r="I7" s="838"/>
      <c r="J7" s="519" t="s">
        <v>174</v>
      </c>
      <c r="K7" s="519" t="s">
        <v>175</v>
      </c>
      <c r="L7" s="533"/>
      <c r="M7" s="533"/>
      <c r="N7" s="150"/>
    </row>
    <row r="8" spans="1:14" s="154" customFormat="1" ht="18">
      <c r="A8" s="151" t="s">
        <v>30</v>
      </c>
      <c r="B8" s="151" t="s">
        <v>31</v>
      </c>
      <c r="C8" s="152"/>
      <c r="D8" s="151" t="s">
        <v>176</v>
      </c>
      <c r="E8" s="151">
        <v>2</v>
      </c>
      <c r="F8" s="153">
        <v>3</v>
      </c>
      <c r="G8" s="153">
        <v>4</v>
      </c>
      <c r="H8" s="153">
        <v>5</v>
      </c>
      <c r="I8" s="153" t="s">
        <v>177</v>
      </c>
      <c r="J8" s="153">
        <v>7</v>
      </c>
      <c r="K8" s="153">
        <v>8</v>
      </c>
      <c r="L8" s="141"/>
      <c r="M8" s="141"/>
      <c r="N8" s="140"/>
    </row>
    <row r="9" spans="1:14" s="49" customFormat="1" ht="12.75">
      <c r="A9" s="296"/>
      <c r="B9" s="296" t="s">
        <v>158</v>
      </c>
      <c r="C9" s="480">
        <f>C10+C108</f>
        <v>44717.083062</v>
      </c>
      <c r="D9" s="480">
        <f aca="true" t="shared" si="0" ref="D9:K9">D10+D108</f>
        <v>646952.9117939998</v>
      </c>
      <c r="E9" s="480">
        <f t="shared" si="0"/>
        <v>546213.612</v>
      </c>
      <c r="F9" s="480">
        <f t="shared" si="0"/>
        <v>128952.90559400001</v>
      </c>
      <c r="G9" s="480">
        <f t="shared" si="0"/>
        <v>-28213.60579999999</v>
      </c>
      <c r="H9" s="480">
        <f>H10+H108</f>
        <v>600512.746896</v>
      </c>
      <c r="I9" s="480">
        <f t="shared" si="0"/>
        <v>87573.08702</v>
      </c>
      <c r="J9" s="480">
        <f t="shared" si="0"/>
        <v>86781.52400199999</v>
      </c>
      <c r="K9" s="480">
        <f t="shared" si="0"/>
        <v>6109.391284000001</v>
      </c>
      <c r="L9" s="533"/>
      <c r="M9" s="533"/>
      <c r="N9" s="150"/>
    </row>
    <row r="10" spans="1:17" s="49" customFormat="1" ht="27" customHeight="1">
      <c r="A10" s="155" t="s">
        <v>35</v>
      </c>
      <c r="B10" s="156" t="s">
        <v>445</v>
      </c>
      <c r="C10" s="465">
        <f>SUM(C11:C107)</f>
        <v>35746.122055</v>
      </c>
      <c r="D10" s="465">
        <f aca="true" t="shared" si="1" ref="D10:K10">SUM(D11:D107)</f>
        <v>508867.7477939998</v>
      </c>
      <c r="E10" s="465">
        <f t="shared" si="1"/>
        <v>461769.462</v>
      </c>
      <c r="F10" s="465">
        <f t="shared" si="1"/>
        <v>75311.89159400002</v>
      </c>
      <c r="G10" s="465">
        <f t="shared" si="1"/>
        <v>-28213.60579999999</v>
      </c>
      <c r="H10" s="465">
        <f t="shared" si="1"/>
        <v>481151.47049</v>
      </c>
      <c r="I10" s="465">
        <f>SUM(I11:I107)</f>
        <v>53728.07045000001</v>
      </c>
      <c r="J10" s="465">
        <f t="shared" si="1"/>
        <v>53038.232969</v>
      </c>
      <c r="K10" s="465">
        <f t="shared" si="1"/>
        <v>6007.665747000001</v>
      </c>
      <c r="L10" s="141"/>
      <c r="M10" s="141"/>
      <c r="N10" s="140"/>
      <c r="P10" s="350"/>
      <c r="Q10" s="159"/>
    </row>
    <row r="11" spans="1:17" s="49" customFormat="1" ht="27" customHeight="1">
      <c r="A11" s="157">
        <v>1</v>
      </c>
      <c r="B11" s="58" t="s">
        <v>294</v>
      </c>
      <c r="C11" s="466"/>
      <c r="D11" s="467">
        <f>E11+F11+G11</f>
        <v>8962.189100000001</v>
      </c>
      <c r="E11" s="468">
        <f>'bieu 54'!E12</f>
        <v>7562.35</v>
      </c>
      <c r="F11" s="466">
        <v>1513.1591</v>
      </c>
      <c r="G11" s="466">
        <v>-113.32</v>
      </c>
      <c r="H11" s="468">
        <f>'bieu 54'!I12+'bieu 54'!N12</f>
        <v>8962.1891</v>
      </c>
      <c r="I11" s="468">
        <f>C11+D11-H11</f>
        <v>0</v>
      </c>
      <c r="J11" s="467">
        <f>'bieu 54'!O12</f>
        <v>0</v>
      </c>
      <c r="K11" s="467"/>
      <c r="L11" s="533"/>
      <c r="M11" s="533"/>
      <c r="N11" s="150"/>
      <c r="P11" s="350"/>
      <c r="Q11" s="159"/>
    </row>
    <row r="12" spans="1:17" s="49" customFormat="1" ht="27" customHeight="1">
      <c r="A12" s="157">
        <v>2</v>
      </c>
      <c r="B12" s="58" t="s">
        <v>446</v>
      </c>
      <c r="C12" s="466"/>
      <c r="D12" s="467">
        <f aca="true" t="shared" si="2" ref="D12:D76">E12+F12+G12</f>
        <v>1385.5890000000002</v>
      </c>
      <c r="E12" s="468">
        <f>'bieu 54'!E13</f>
        <v>1133.758</v>
      </c>
      <c r="F12" s="467">
        <v>270.191</v>
      </c>
      <c r="G12" s="467">
        <v>-18.36</v>
      </c>
      <c r="H12" s="468">
        <f>'bieu 54'!I13+'bieu 54'!N13</f>
        <v>1261.961</v>
      </c>
      <c r="I12" s="467">
        <f aca="true" t="shared" si="3" ref="I12:I76">C12+D12-H12</f>
        <v>123.62800000000016</v>
      </c>
      <c r="J12" s="467">
        <f>'bieu 54'!O13</f>
        <v>123.63</v>
      </c>
      <c r="K12" s="467"/>
      <c r="L12" s="533"/>
      <c r="M12" s="533"/>
      <c r="N12" s="140"/>
      <c r="P12" s="350"/>
      <c r="Q12" s="159"/>
    </row>
    <row r="13" spans="1:17" s="49" customFormat="1" ht="27" customHeight="1">
      <c r="A13" s="157">
        <v>3</v>
      </c>
      <c r="B13" s="58" t="s">
        <v>447</v>
      </c>
      <c r="C13" s="466">
        <v>119.89</v>
      </c>
      <c r="D13" s="467">
        <f t="shared" si="2"/>
        <v>555.7080000000001</v>
      </c>
      <c r="E13" s="468">
        <f>'bieu 54'!E14</f>
        <v>546.7</v>
      </c>
      <c r="F13" s="467">
        <v>132.382</v>
      </c>
      <c r="G13" s="467">
        <v>-123.374</v>
      </c>
      <c r="H13" s="468">
        <f>'bieu 54'!I14+'bieu 54'!N14</f>
        <v>630.994</v>
      </c>
      <c r="I13" s="467">
        <f t="shared" si="3"/>
        <v>44.60400000000004</v>
      </c>
      <c r="J13" s="467">
        <f>'bieu 54'!O14</f>
        <v>44.604</v>
      </c>
      <c r="K13" s="467"/>
      <c r="L13" s="533"/>
      <c r="M13" s="533"/>
      <c r="N13" s="150"/>
      <c r="P13" s="350"/>
      <c r="Q13" s="159"/>
    </row>
    <row r="14" spans="1:17" s="49" customFormat="1" ht="27" customHeight="1">
      <c r="A14" s="157">
        <v>4</v>
      </c>
      <c r="B14" s="58" t="s">
        <v>448</v>
      </c>
      <c r="C14" s="466">
        <v>542.025</v>
      </c>
      <c r="D14" s="467">
        <f t="shared" si="2"/>
        <v>3700.426</v>
      </c>
      <c r="E14" s="468">
        <f>'bieu 54'!E15+2766</f>
        <v>3322.3559999999998</v>
      </c>
      <c r="F14" s="467">
        <v>387.25</v>
      </c>
      <c r="G14" s="467">
        <v>-9.18</v>
      </c>
      <c r="H14" s="468">
        <f>'bieu 54'!I15+'bieu 54'!N15</f>
        <v>1516.297</v>
      </c>
      <c r="I14" s="467">
        <f t="shared" si="3"/>
        <v>2726.154</v>
      </c>
      <c r="J14" s="467">
        <f>'bieu 54'!O15</f>
        <v>2726.158</v>
      </c>
      <c r="K14" s="467"/>
      <c r="L14" s="533"/>
      <c r="M14" s="533"/>
      <c r="N14" s="140"/>
      <c r="P14" s="350"/>
      <c r="Q14" s="159"/>
    </row>
    <row r="15" spans="1:17" s="49" customFormat="1" ht="27" customHeight="1">
      <c r="A15" s="157">
        <v>5</v>
      </c>
      <c r="B15" s="58" t="s">
        <v>449</v>
      </c>
      <c r="C15" s="466"/>
      <c r="D15" s="467">
        <f t="shared" si="2"/>
        <v>1072.274</v>
      </c>
      <c r="E15" s="468">
        <f>'bieu 54'!E16</f>
        <v>813.91</v>
      </c>
      <c r="F15" s="467">
        <v>270.604</v>
      </c>
      <c r="G15" s="467">
        <v>-12.24</v>
      </c>
      <c r="H15" s="468">
        <f>'bieu 54'!I16+'bieu 54'!N16</f>
        <v>948.954</v>
      </c>
      <c r="I15" s="467">
        <f t="shared" si="3"/>
        <v>123.31999999999994</v>
      </c>
      <c r="J15" s="467">
        <f>'bieu 54'!O16</f>
        <v>123.32</v>
      </c>
      <c r="K15" s="467"/>
      <c r="L15" s="533"/>
      <c r="M15" s="533"/>
      <c r="N15" s="150"/>
      <c r="P15" s="350"/>
      <c r="Q15" s="159"/>
    </row>
    <row r="16" spans="1:17" s="49" customFormat="1" ht="27" customHeight="1">
      <c r="A16" s="157">
        <v>6</v>
      </c>
      <c r="B16" s="59" t="s">
        <v>450</v>
      </c>
      <c r="C16" s="466">
        <v>86.945</v>
      </c>
      <c r="D16" s="467">
        <f t="shared" si="2"/>
        <v>497.205</v>
      </c>
      <c r="E16" s="468">
        <f>'bieu 54'!E17</f>
        <v>422.336</v>
      </c>
      <c r="F16" s="467">
        <v>84.049</v>
      </c>
      <c r="G16" s="467">
        <v>-9.18</v>
      </c>
      <c r="H16" s="468">
        <f>'bieu 54'!I17+'bieu 54'!N17</f>
        <v>584.154</v>
      </c>
      <c r="I16" s="524">
        <f t="shared" si="3"/>
        <v>-0.004000000000019099</v>
      </c>
      <c r="J16" s="467">
        <f>'bieu 54'!O17</f>
        <v>0</v>
      </c>
      <c r="K16" s="467"/>
      <c r="L16" s="533"/>
      <c r="M16" s="533"/>
      <c r="N16" s="140"/>
      <c r="P16" s="350"/>
      <c r="Q16" s="159"/>
    </row>
    <row r="17" spans="1:17" s="158" customFormat="1" ht="27" customHeight="1">
      <c r="A17" s="157">
        <v>7</v>
      </c>
      <c r="B17" s="60" t="s">
        <v>295</v>
      </c>
      <c r="C17" s="466"/>
      <c r="D17" s="467">
        <f t="shared" si="2"/>
        <v>7639.096399999999</v>
      </c>
      <c r="E17" s="468">
        <f>'bieu 54'!E18</f>
        <v>4808.727999999999</v>
      </c>
      <c r="F17" s="467">
        <v>2888.687</v>
      </c>
      <c r="G17" s="467">
        <v>-58.3186</v>
      </c>
      <c r="H17" s="468">
        <f>'bieu 54'!I18+'bieu 54'!N18</f>
        <v>7520.574</v>
      </c>
      <c r="I17" s="467">
        <f t="shared" si="3"/>
        <v>118.52239999999983</v>
      </c>
      <c r="J17" s="467">
        <f>'bieu 54'!O18</f>
        <v>118.5224</v>
      </c>
      <c r="K17" s="467"/>
      <c r="L17" s="533"/>
      <c r="M17" s="533"/>
      <c r="N17" s="150"/>
      <c r="P17" s="350"/>
      <c r="Q17" s="159"/>
    </row>
    <row r="18" spans="1:17" s="49" customFormat="1" ht="27" customHeight="1">
      <c r="A18" s="157">
        <v>8</v>
      </c>
      <c r="B18" s="60" t="s">
        <v>451</v>
      </c>
      <c r="C18" s="525">
        <v>1606.7804999999998</v>
      </c>
      <c r="D18" s="467">
        <f t="shared" si="2"/>
        <v>8825.937999999998</v>
      </c>
      <c r="E18" s="468">
        <f>'bieu 54'!E19+1180</f>
        <v>8157.57</v>
      </c>
      <c r="F18" s="467">
        <v>1562.674</v>
      </c>
      <c r="G18" s="467">
        <v>-894.306</v>
      </c>
      <c r="H18" s="468">
        <f>'bieu 54'!I19+'bieu 54'!N19</f>
        <v>6526.817</v>
      </c>
      <c r="I18" s="467">
        <f>C18+D18-H18</f>
        <v>3905.901499999999</v>
      </c>
      <c r="J18" s="467">
        <f>'bieu 54'!O19</f>
        <v>1669.0599</v>
      </c>
      <c r="K18" s="467">
        <f>995.9062+68.586+7+1012.259+151.089+2</f>
        <v>2236.8401999999996</v>
      </c>
      <c r="L18" s="533"/>
      <c r="M18" s="533"/>
      <c r="N18" s="140"/>
      <c r="P18" s="350"/>
      <c r="Q18" s="159"/>
    </row>
    <row r="19" spans="1:17" s="49" customFormat="1" ht="27" customHeight="1">
      <c r="A19" s="157">
        <v>9</v>
      </c>
      <c r="B19" s="60" t="s">
        <v>299</v>
      </c>
      <c r="C19" s="466"/>
      <c r="D19" s="467">
        <f t="shared" si="2"/>
        <v>1210.658</v>
      </c>
      <c r="E19" s="468">
        <f>'bieu 54'!E20+420</f>
        <v>1084.32</v>
      </c>
      <c r="F19" s="467">
        <v>138.578</v>
      </c>
      <c r="G19" s="467">
        <v>-12.24</v>
      </c>
      <c r="H19" s="468">
        <f>'bieu 54'!I20+'bieu 54'!N20</f>
        <v>1210.658</v>
      </c>
      <c r="I19" s="467">
        <f t="shared" si="3"/>
        <v>0</v>
      </c>
      <c r="J19" s="467">
        <f>'bieu 54'!O20</f>
        <v>0</v>
      </c>
      <c r="K19" s="467"/>
      <c r="L19" s="533"/>
      <c r="M19" s="533"/>
      <c r="N19" s="150"/>
      <c r="P19" s="350"/>
      <c r="Q19" s="159"/>
    </row>
    <row r="20" spans="1:17" s="49" customFormat="1" ht="27" customHeight="1">
      <c r="A20" s="157">
        <v>10</v>
      </c>
      <c r="B20" s="60" t="s">
        <v>635</v>
      </c>
      <c r="C20" s="526">
        <v>168</v>
      </c>
      <c r="D20" s="467">
        <f t="shared" si="2"/>
        <v>35792.9342</v>
      </c>
      <c r="E20" s="468">
        <f>'bieu 54'!E21</f>
        <v>29369.86</v>
      </c>
      <c r="F20" s="467">
        <v>6448.4542</v>
      </c>
      <c r="G20" s="467">
        <v>-25.38</v>
      </c>
      <c r="H20" s="468">
        <f>'bieu 54'!I21+'bieu 54'!N21</f>
        <v>35809.08652</v>
      </c>
      <c r="I20" s="467">
        <f t="shared" si="3"/>
        <v>151.84768000000622</v>
      </c>
      <c r="J20" s="467">
        <f>'bieu 54'!O21</f>
        <v>150</v>
      </c>
      <c r="K20" s="467">
        <v>1.84768</v>
      </c>
      <c r="L20" s="533"/>
      <c r="M20" s="533"/>
      <c r="N20" s="140"/>
      <c r="P20" s="350"/>
      <c r="Q20" s="159"/>
    </row>
    <row r="21" spans="1:17" s="49" customFormat="1" ht="27" customHeight="1">
      <c r="A21" s="157">
        <v>11</v>
      </c>
      <c r="B21" s="60" t="s">
        <v>297</v>
      </c>
      <c r="C21" s="527">
        <v>1531.966645</v>
      </c>
      <c r="D21" s="467">
        <f>E21+F21+G21</f>
        <v>12303.488</v>
      </c>
      <c r="E21" s="468">
        <f>'bieu 54'!E22</f>
        <v>7520.37</v>
      </c>
      <c r="F21" s="467">
        <v>4825.552</v>
      </c>
      <c r="G21" s="467">
        <v>-42.434</v>
      </c>
      <c r="H21" s="468">
        <f>'bieu 54'!I22+'bieu 54'!N22</f>
        <v>12411.5192</v>
      </c>
      <c r="I21" s="467">
        <f>C21+D21-H21</f>
        <v>1423.9354449999992</v>
      </c>
      <c r="J21" s="467">
        <f>'bieu 54'!O22</f>
        <v>1260.22</v>
      </c>
      <c r="K21" s="467">
        <f>17.901445+100+45.395+0.419</f>
        <v>163.71544500000002</v>
      </c>
      <c r="L21" s="533"/>
      <c r="M21" s="533"/>
      <c r="N21" s="150"/>
      <c r="P21" s="350"/>
      <c r="Q21" s="351"/>
    </row>
    <row r="22" spans="1:17" s="49" customFormat="1" ht="27" customHeight="1">
      <c r="A22" s="157">
        <v>12</v>
      </c>
      <c r="B22" s="60" t="s">
        <v>532</v>
      </c>
      <c r="C22" s="528">
        <v>69.465</v>
      </c>
      <c r="D22" s="467">
        <f t="shared" si="2"/>
        <v>5292.0225</v>
      </c>
      <c r="E22" s="468">
        <f>'bieu 54'!E23</f>
        <v>4468.08</v>
      </c>
      <c r="F22" s="469">
        <v>1312.1825</v>
      </c>
      <c r="G22" s="467">
        <v>-488.24</v>
      </c>
      <c r="H22" s="468">
        <f>'bieu 54'!I23+'bieu 54'!N23</f>
        <v>4793.737802</v>
      </c>
      <c r="I22" s="467">
        <f t="shared" si="3"/>
        <v>567.7496980000005</v>
      </c>
      <c r="J22" s="467">
        <f>'bieu 54'!O23</f>
        <v>515.0775</v>
      </c>
      <c r="K22" s="467">
        <v>52.672198</v>
      </c>
      <c r="L22" s="533"/>
      <c r="M22" s="533"/>
      <c r="N22" s="140"/>
      <c r="P22" s="350"/>
      <c r="Q22" s="159"/>
    </row>
    <row r="23" spans="1:17" s="49" customFormat="1" ht="27" customHeight="1">
      <c r="A23" s="157">
        <v>13</v>
      </c>
      <c r="B23" s="60" t="s">
        <v>494</v>
      </c>
      <c r="C23" s="467">
        <f>956.8998</f>
        <v>956.8998</v>
      </c>
      <c r="D23" s="467">
        <f>E23+F23+G23</f>
        <v>33327.0205</v>
      </c>
      <c r="E23" s="468">
        <f>'bieu 54'!E24+4673</f>
        <v>32161.61</v>
      </c>
      <c r="F23" s="469">
        <f>1205.2715-12.321</f>
        <v>1192.9505000000001</v>
      </c>
      <c r="G23" s="467">
        <v>-27.54</v>
      </c>
      <c r="H23" s="468">
        <f>'bieu 54'!I24+'bieu 54'!N24</f>
        <v>29356.2398</v>
      </c>
      <c r="I23" s="467">
        <f>C23+D23-H23</f>
        <v>4927.680499999999</v>
      </c>
      <c r="J23" s="467">
        <f>'bieu 54'!O24</f>
        <v>4861.197799999999</v>
      </c>
      <c r="K23" s="467">
        <v>66.4827</v>
      </c>
      <c r="L23" s="533"/>
      <c r="M23" s="548"/>
      <c r="N23" s="150"/>
      <c r="P23" s="350"/>
      <c r="Q23" s="159"/>
    </row>
    <row r="24" spans="1:17" s="49" customFormat="1" ht="27" customHeight="1">
      <c r="A24" s="157">
        <v>14</v>
      </c>
      <c r="B24" s="60" t="s">
        <v>452</v>
      </c>
      <c r="C24" s="535">
        <v>675</v>
      </c>
      <c r="D24" s="467">
        <f t="shared" si="2"/>
        <v>3989.237</v>
      </c>
      <c r="E24" s="468">
        <f>'bieu 54'!E25+1383.02</f>
        <v>2349.3199999999997</v>
      </c>
      <c r="F24" s="469">
        <v>1687.2170000000003</v>
      </c>
      <c r="G24" s="467">
        <v>-47.3</v>
      </c>
      <c r="H24" s="468">
        <f>'bieu 54'!I25+'bieu 54'!N25</f>
        <v>4080.508</v>
      </c>
      <c r="I24" s="467">
        <f t="shared" si="3"/>
        <v>583.7290000000003</v>
      </c>
      <c r="J24" s="467">
        <f>'bieu 54'!O25</f>
        <v>582.5285</v>
      </c>
      <c r="K24" s="467">
        <v>1.2005</v>
      </c>
      <c r="L24" s="588"/>
      <c r="M24" s="533"/>
      <c r="N24" s="140"/>
      <c r="P24" s="350"/>
      <c r="Q24" s="159"/>
    </row>
    <row r="25" spans="1:17" s="49" customFormat="1" ht="27" customHeight="1">
      <c r="A25" s="157">
        <v>15</v>
      </c>
      <c r="B25" s="60" t="s">
        <v>0</v>
      </c>
      <c r="C25" s="535">
        <v>290.122</v>
      </c>
      <c r="D25" s="467">
        <f t="shared" si="2"/>
        <v>4317.508</v>
      </c>
      <c r="E25" s="468">
        <f>'bieu 54'!E26</f>
        <v>4225.55</v>
      </c>
      <c r="F25" s="469">
        <v>190.62899999999973</v>
      </c>
      <c r="G25" s="467">
        <v>-98.671</v>
      </c>
      <c r="H25" s="468">
        <f>'bieu 54'!I26+'bieu 54'!N26</f>
        <v>4245.9685</v>
      </c>
      <c r="I25" s="467">
        <f t="shared" si="3"/>
        <v>361.66150000000016</v>
      </c>
      <c r="J25" s="467">
        <f>'bieu 54'!O26</f>
        <v>14.066</v>
      </c>
      <c r="K25" s="467">
        <v>347.5955</v>
      </c>
      <c r="L25" s="533"/>
      <c r="M25" s="533"/>
      <c r="N25" s="150"/>
      <c r="P25" s="350"/>
      <c r="Q25" s="159"/>
    </row>
    <row r="26" spans="1:17" s="49" customFormat="1" ht="27" customHeight="1">
      <c r="A26" s="157">
        <v>16</v>
      </c>
      <c r="B26" s="60" t="s">
        <v>296</v>
      </c>
      <c r="C26" s="535">
        <v>6.0508</v>
      </c>
      <c r="D26" s="467">
        <f t="shared" si="2"/>
        <v>3632.9230000000007</v>
      </c>
      <c r="E26" s="468">
        <f>'bieu 54'!E27</f>
        <v>3694.4900000000007</v>
      </c>
      <c r="F26" s="469">
        <v>559.853</v>
      </c>
      <c r="G26" s="467">
        <v>-621.42</v>
      </c>
      <c r="H26" s="468">
        <f>'bieu 54'!I27+'bieu 54'!N27</f>
        <v>3322.5632</v>
      </c>
      <c r="I26" s="467">
        <f>C26+D26-H26</f>
        <v>316.4106000000006</v>
      </c>
      <c r="J26" s="467">
        <f>'bieu 54'!O27</f>
        <v>36.3054</v>
      </c>
      <c r="K26" s="467">
        <f>46.917+232.428+0.76</f>
        <v>280.105</v>
      </c>
      <c r="L26" s="533"/>
      <c r="M26" s="533"/>
      <c r="N26" s="140"/>
      <c r="P26" s="350"/>
      <c r="Q26" s="159"/>
    </row>
    <row r="27" spans="1:17" s="49" customFormat="1" ht="27" customHeight="1">
      <c r="A27" s="157">
        <v>17</v>
      </c>
      <c r="B27" s="60" t="s">
        <v>298</v>
      </c>
      <c r="C27" s="467"/>
      <c r="D27" s="467">
        <f>E27+F27+G27</f>
        <v>874.8140000000001</v>
      </c>
      <c r="E27" s="468">
        <f>'bieu 54'!E28</f>
        <v>741.95</v>
      </c>
      <c r="F27" s="469">
        <v>145.104</v>
      </c>
      <c r="G27" s="467">
        <v>-12.24</v>
      </c>
      <c r="H27" s="468">
        <f>'bieu 54'!I28+'bieu 54'!N28</f>
        <v>874.253</v>
      </c>
      <c r="I27" s="467">
        <f>C27+D27-H27</f>
        <v>0.5610000000000355</v>
      </c>
      <c r="J27" s="467">
        <f>'bieu 54'!O28</f>
        <v>0</v>
      </c>
      <c r="K27" s="467">
        <v>0.561</v>
      </c>
      <c r="L27" s="533"/>
      <c r="M27" s="533"/>
      <c r="N27" s="150"/>
      <c r="P27" s="350"/>
      <c r="Q27" s="159"/>
    </row>
    <row r="28" spans="1:17" s="49" customFormat="1" ht="27" customHeight="1">
      <c r="A28" s="157">
        <v>18</v>
      </c>
      <c r="B28" s="60" t="s">
        <v>457</v>
      </c>
      <c r="C28" s="467"/>
      <c r="D28" s="467">
        <f t="shared" si="2"/>
        <v>239.743</v>
      </c>
      <c r="E28" s="468">
        <f>'bieu 54'!E29</f>
        <v>165.91</v>
      </c>
      <c r="F28" s="469">
        <v>73.833</v>
      </c>
      <c r="G28" s="467"/>
      <c r="H28" s="468">
        <f>'bieu 54'!I29+'bieu 54'!N29</f>
        <v>239.743</v>
      </c>
      <c r="I28" s="467">
        <f t="shared" si="3"/>
        <v>0</v>
      </c>
      <c r="J28" s="467">
        <f>'bieu 54'!O29</f>
        <v>0</v>
      </c>
      <c r="K28" s="467"/>
      <c r="L28" s="533"/>
      <c r="M28" s="533"/>
      <c r="N28" s="140"/>
      <c r="P28" s="350"/>
      <c r="Q28" s="159"/>
    </row>
    <row r="29" spans="1:17" s="49" customFormat="1" ht="27" customHeight="1">
      <c r="A29" s="157">
        <v>19</v>
      </c>
      <c r="B29" s="60" t="s">
        <v>456</v>
      </c>
      <c r="C29" s="467"/>
      <c r="D29" s="467">
        <f t="shared" si="2"/>
        <v>100.66399999999999</v>
      </c>
      <c r="E29" s="468">
        <f>'bieu 54'!E30</f>
        <v>92.96</v>
      </c>
      <c r="F29" s="469">
        <v>7.704</v>
      </c>
      <c r="G29" s="467"/>
      <c r="H29" s="468">
        <f>'bieu 54'!I30+'bieu 54'!N30</f>
        <v>100.664</v>
      </c>
      <c r="I29" s="467">
        <f t="shared" si="3"/>
        <v>0</v>
      </c>
      <c r="J29" s="467">
        <f>'bieu 54'!O30</f>
        <v>0</v>
      </c>
      <c r="K29" s="467"/>
      <c r="L29" s="533"/>
      <c r="M29" s="533"/>
      <c r="N29" s="150"/>
      <c r="P29" s="350"/>
      <c r="Q29" s="159"/>
    </row>
    <row r="30" spans="1:17" s="49" customFormat="1" ht="27" customHeight="1">
      <c r="A30" s="157">
        <v>20</v>
      </c>
      <c r="B30" s="60" t="s">
        <v>458</v>
      </c>
      <c r="C30" s="467"/>
      <c r="D30" s="467">
        <f t="shared" si="2"/>
        <v>119.22</v>
      </c>
      <c r="E30" s="468">
        <f>'bieu 54'!E31</f>
        <v>93.64</v>
      </c>
      <c r="F30" s="469">
        <v>25.58</v>
      </c>
      <c r="G30" s="467"/>
      <c r="H30" s="468">
        <f>'bieu 54'!I31+'bieu 54'!N31</f>
        <v>119.22</v>
      </c>
      <c r="I30" s="467">
        <f t="shared" si="3"/>
        <v>0</v>
      </c>
      <c r="J30" s="467">
        <f>'bieu 54'!O31</f>
        <v>0</v>
      </c>
      <c r="K30" s="467"/>
      <c r="L30" s="533"/>
      <c r="M30" s="533"/>
      <c r="N30" s="140"/>
      <c r="P30" s="350"/>
      <c r="Q30" s="159"/>
    </row>
    <row r="31" spans="1:17" s="49" customFormat="1" ht="27" customHeight="1">
      <c r="A31" s="157">
        <v>21</v>
      </c>
      <c r="B31" s="60" t="s">
        <v>459</v>
      </c>
      <c r="C31" s="467"/>
      <c r="D31" s="467">
        <f t="shared" si="2"/>
        <v>70.55</v>
      </c>
      <c r="E31" s="468">
        <f>'bieu 54'!E32</f>
        <v>40</v>
      </c>
      <c r="F31" s="469">
        <v>30.55</v>
      </c>
      <c r="G31" s="467"/>
      <c r="H31" s="468">
        <f>'bieu 54'!I32+'bieu 54'!N32</f>
        <v>70.55</v>
      </c>
      <c r="I31" s="467">
        <f t="shared" si="3"/>
        <v>0</v>
      </c>
      <c r="J31" s="467">
        <f>'bieu 54'!O32</f>
        <v>0</v>
      </c>
      <c r="K31" s="467"/>
      <c r="L31" s="533"/>
      <c r="M31" s="533"/>
      <c r="N31" s="150"/>
      <c r="P31" s="350"/>
      <c r="Q31" s="159"/>
    </row>
    <row r="32" spans="1:17" s="49" customFormat="1" ht="27" customHeight="1">
      <c r="A32" s="157">
        <v>22</v>
      </c>
      <c r="B32" s="60" t="s">
        <v>460</v>
      </c>
      <c r="C32" s="467"/>
      <c r="D32" s="467">
        <f t="shared" si="2"/>
        <v>89.22</v>
      </c>
      <c r="E32" s="468">
        <f>'bieu 54'!E33</f>
        <v>83.64</v>
      </c>
      <c r="F32" s="469">
        <v>5.58</v>
      </c>
      <c r="G32" s="467"/>
      <c r="H32" s="468">
        <f>'bieu 54'!I33+'bieu 54'!N33</f>
        <v>89.22</v>
      </c>
      <c r="I32" s="467">
        <f t="shared" si="3"/>
        <v>0</v>
      </c>
      <c r="J32" s="467">
        <f>'bieu 54'!O33</f>
        <v>0</v>
      </c>
      <c r="K32" s="467"/>
      <c r="L32" s="533"/>
      <c r="M32" s="533"/>
      <c r="N32" s="140"/>
      <c r="P32" s="350"/>
      <c r="Q32" s="159"/>
    </row>
    <row r="33" spans="1:17" s="49" customFormat="1" ht="27" customHeight="1">
      <c r="A33" s="157">
        <v>23</v>
      </c>
      <c r="B33" s="60" t="s">
        <v>461</v>
      </c>
      <c r="C33" s="467"/>
      <c r="D33" s="467">
        <f t="shared" si="2"/>
        <v>221.196</v>
      </c>
      <c r="E33" s="468">
        <f>'bieu 54'!E34</f>
        <v>200.43</v>
      </c>
      <c r="F33" s="469">
        <v>20.766</v>
      </c>
      <c r="G33" s="467"/>
      <c r="H33" s="468">
        <f>'bieu 54'!I34+'bieu 54'!N34</f>
        <v>221.196</v>
      </c>
      <c r="I33" s="467">
        <f t="shared" si="3"/>
        <v>0</v>
      </c>
      <c r="J33" s="467">
        <f>'bieu 54'!O34</f>
        <v>0</v>
      </c>
      <c r="K33" s="467"/>
      <c r="L33" s="533"/>
      <c r="M33" s="533"/>
      <c r="N33" s="150"/>
      <c r="P33" s="350"/>
      <c r="Q33" s="159"/>
    </row>
    <row r="34" spans="1:17" s="49" customFormat="1" ht="27" customHeight="1">
      <c r="A34" s="157">
        <v>24</v>
      </c>
      <c r="B34" s="60" t="s">
        <v>462</v>
      </c>
      <c r="C34" s="539">
        <v>24906.262</v>
      </c>
      <c r="D34" s="467">
        <f t="shared" si="2"/>
        <v>4286.097999999998</v>
      </c>
      <c r="E34" s="468">
        <f>'bieu 54'!E35</f>
        <v>23294.35</v>
      </c>
      <c r="F34" s="469"/>
      <c r="G34" s="469">
        <v>-19008.252</v>
      </c>
      <c r="H34" s="468">
        <f>'bieu 54'!I35+'bieu 54'!N35</f>
        <v>32475.374799999998</v>
      </c>
      <c r="I34" s="467">
        <f t="shared" si="3"/>
        <v>-3283.014800000001</v>
      </c>
      <c r="J34" s="467">
        <f>'bieu 54'!O35</f>
        <v>0</v>
      </c>
      <c r="K34" s="467">
        <f>1950+84.805</f>
        <v>2034.805</v>
      </c>
      <c r="L34" s="533"/>
      <c r="M34" s="533"/>
      <c r="N34" s="140"/>
      <c r="P34" s="350"/>
      <c r="Q34" s="159"/>
    </row>
    <row r="35" spans="1:17" s="49" customFormat="1" ht="27" customHeight="1">
      <c r="A35" s="157">
        <v>25</v>
      </c>
      <c r="B35" s="60" t="s">
        <v>453</v>
      </c>
      <c r="C35" s="536">
        <v>244.809</v>
      </c>
      <c r="D35" s="467">
        <f t="shared" si="2"/>
        <v>34062.45590000001</v>
      </c>
      <c r="E35" s="468">
        <f>'bieu 54'!E36+1184</f>
        <v>22705.2</v>
      </c>
      <c r="F35" s="469">
        <v>13302.675900000004</v>
      </c>
      <c r="G35" s="467">
        <f>-1222-723.42</f>
        <v>-1945.42</v>
      </c>
      <c r="H35" s="468">
        <f>'bieu 54'!I36+'bieu 54'!N36</f>
        <v>29836.138860000003</v>
      </c>
      <c r="I35" s="467">
        <f t="shared" si="3"/>
        <v>4471.1260400000065</v>
      </c>
      <c r="J35" s="467">
        <f>'bieu 54'!O36</f>
        <v>4196.714140000001</v>
      </c>
      <c r="K35" s="467">
        <f>11.199+263.2129</f>
        <v>274.4119</v>
      </c>
      <c r="L35" s="533"/>
      <c r="M35" s="533"/>
      <c r="N35" s="150"/>
      <c r="P35" s="350"/>
      <c r="Q35" s="159"/>
    </row>
    <row r="36" spans="1:17" s="49" customFormat="1" ht="27" customHeight="1">
      <c r="A36" s="157">
        <v>26</v>
      </c>
      <c r="B36" s="60" t="s">
        <v>454</v>
      </c>
      <c r="C36" s="540"/>
      <c r="D36" s="467">
        <f t="shared" si="2"/>
        <v>833.048</v>
      </c>
      <c r="E36" s="468">
        <f>'bieu 54'!E37</f>
        <v>600.33</v>
      </c>
      <c r="F36" s="469">
        <v>232.718</v>
      </c>
      <c r="G36" s="467"/>
      <c r="H36" s="468">
        <f>'bieu 54'!I37+'bieu 54'!N37</f>
        <v>832.162311</v>
      </c>
      <c r="I36" s="467">
        <f t="shared" si="3"/>
        <v>0.8856889999999566</v>
      </c>
      <c r="J36" s="467">
        <f>'bieu 54'!O37</f>
        <v>0.885689</v>
      </c>
      <c r="K36" s="467"/>
      <c r="L36" s="533"/>
      <c r="M36" s="533"/>
      <c r="N36" s="140"/>
      <c r="P36" s="350"/>
      <c r="Q36" s="159"/>
    </row>
    <row r="37" spans="1:17" s="49" customFormat="1" ht="27" customHeight="1">
      <c r="A37" s="157">
        <v>27</v>
      </c>
      <c r="B37" s="60" t="s">
        <v>501</v>
      </c>
      <c r="C37" s="467"/>
      <c r="D37" s="467">
        <f t="shared" si="2"/>
        <v>979.0360000000001</v>
      </c>
      <c r="E37" s="468">
        <f>'bieu 54'!E38</f>
        <v>681.01</v>
      </c>
      <c r="F37" s="469">
        <v>298.026</v>
      </c>
      <c r="G37" s="467"/>
      <c r="H37" s="468">
        <f>'bieu 54'!I38+'bieu 54'!N38</f>
        <v>979.036</v>
      </c>
      <c r="I37" s="467">
        <f t="shared" si="3"/>
        <v>0</v>
      </c>
      <c r="J37" s="467">
        <f>'bieu 54'!O38</f>
        <v>0</v>
      </c>
      <c r="K37" s="467"/>
      <c r="L37" s="533"/>
      <c r="M37" s="533"/>
      <c r="N37" s="150"/>
      <c r="P37" s="350"/>
      <c r="Q37" s="159"/>
    </row>
    <row r="38" spans="1:17" s="49" customFormat="1" ht="27" customHeight="1">
      <c r="A38" s="157">
        <v>28</v>
      </c>
      <c r="B38" s="60" t="s">
        <v>455</v>
      </c>
      <c r="C38" s="537">
        <v>3293.1198</v>
      </c>
      <c r="D38" s="467">
        <f t="shared" si="2"/>
        <v>12998.448934</v>
      </c>
      <c r="E38" s="468">
        <f>'bieu 54'!E39+10211</f>
        <v>12649.43</v>
      </c>
      <c r="F38" s="469">
        <v>379.576934</v>
      </c>
      <c r="G38" s="467">
        <v>-30.558</v>
      </c>
      <c r="H38" s="468">
        <f>'bieu 54'!I39+'bieu 54'!N39</f>
        <v>4260.436066</v>
      </c>
      <c r="I38" s="467">
        <f t="shared" si="3"/>
        <v>12031.132668</v>
      </c>
      <c r="J38" s="467">
        <f>'bieu 54'!O39</f>
        <v>12011.000733999997</v>
      </c>
      <c r="K38" s="467">
        <v>20.132</v>
      </c>
      <c r="L38" s="533"/>
      <c r="M38" s="533"/>
      <c r="N38" s="140"/>
      <c r="P38" s="350"/>
      <c r="Q38" s="159"/>
    </row>
    <row r="39" spans="1:17" s="49" customFormat="1" ht="27" customHeight="1">
      <c r="A39" s="157">
        <v>29</v>
      </c>
      <c r="B39" s="60" t="s">
        <v>466</v>
      </c>
      <c r="C39" s="538">
        <v>119.7379</v>
      </c>
      <c r="D39" s="467">
        <f t="shared" si="2"/>
        <v>3786.2349999999997</v>
      </c>
      <c r="E39" s="468">
        <f>'bieu 54'!E40</f>
        <v>3347.97</v>
      </c>
      <c r="F39" s="469">
        <v>546.265</v>
      </c>
      <c r="G39" s="467">
        <v>-108</v>
      </c>
      <c r="H39" s="468">
        <f>'bieu 54'!I40+'bieu 54'!N40</f>
        <v>3891.5089000000003</v>
      </c>
      <c r="I39" s="467">
        <f t="shared" si="3"/>
        <v>14.463999999999487</v>
      </c>
      <c r="J39" s="467">
        <f>'bieu 54'!O40</f>
        <v>13.705</v>
      </c>
      <c r="K39" s="467">
        <f>0.474+0.285</f>
        <v>0.7589999999999999</v>
      </c>
      <c r="L39" s="533"/>
      <c r="M39" s="533"/>
      <c r="N39" s="150"/>
      <c r="P39" s="350"/>
      <c r="Q39" s="159"/>
    </row>
    <row r="40" spans="1:17" s="49" customFormat="1" ht="27" customHeight="1">
      <c r="A40" s="157">
        <v>30</v>
      </c>
      <c r="B40" s="60" t="s">
        <v>467</v>
      </c>
      <c r="C40" s="538">
        <v>2</v>
      </c>
      <c r="D40" s="467">
        <f t="shared" si="2"/>
        <v>2375.652</v>
      </c>
      <c r="E40" s="468">
        <f>'bieu 54'!E41</f>
        <v>2107.65</v>
      </c>
      <c r="F40" s="469">
        <v>268.00199999999995</v>
      </c>
      <c r="G40" s="467"/>
      <c r="H40" s="468">
        <f>'bieu 54'!I41+'bieu 54'!N41</f>
        <v>2377.6519999999996</v>
      </c>
      <c r="I40" s="467">
        <f t="shared" si="3"/>
        <v>0</v>
      </c>
      <c r="J40" s="467">
        <f>'bieu 54'!O41</f>
        <v>0</v>
      </c>
      <c r="K40" s="467"/>
      <c r="L40" s="533"/>
      <c r="M40" s="533"/>
      <c r="N40" s="140"/>
      <c r="P40" s="350"/>
      <c r="Q40" s="159"/>
    </row>
    <row r="41" spans="1:17" s="49" customFormat="1" ht="27" customHeight="1">
      <c r="A41" s="157">
        <v>31</v>
      </c>
      <c r="B41" s="60" t="s">
        <v>588</v>
      </c>
      <c r="C41" s="529">
        <v>163.86</v>
      </c>
      <c r="D41" s="467">
        <f t="shared" si="2"/>
        <v>7210.586</v>
      </c>
      <c r="E41" s="468">
        <f>'bieu 54'!E42</f>
        <v>6568.31</v>
      </c>
      <c r="F41" s="469">
        <v>644.036</v>
      </c>
      <c r="G41" s="467">
        <v>-1.76</v>
      </c>
      <c r="H41" s="468">
        <f>'bieu 54'!I42+'bieu 54'!N42</f>
        <v>7348.5874</v>
      </c>
      <c r="I41" s="467">
        <f t="shared" si="3"/>
        <v>25.85859999999957</v>
      </c>
      <c r="J41" s="467">
        <f>'bieu 54'!O42</f>
        <v>1.2226</v>
      </c>
      <c r="K41" s="467">
        <v>24.636</v>
      </c>
      <c r="L41" s="533"/>
      <c r="M41" s="533"/>
      <c r="N41" s="150"/>
      <c r="O41" s="541"/>
      <c r="P41" s="350"/>
      <c r="Q41" s="159"/>
    </row>
    <row r="42" spans="1:17" s="49" customFormat="1" ht="27" customHeight="1">
      <c r="A42" s="157">
        <v>32</v>
      </c>
      <c r="B42" s="60" t="s">
        <v>589</v>
      </c>
      <c r="C42" s="529">
        <v>23.842276000000002</v>
      </c>
      <c r="D42" s="467">
        <f>E42+F42+G42</f>
        <v>5713.092799999999</v>
      </c>
      <c r="E42" s="468">
        <f>'bieu 54'!E43</f>
        <v>5440.25</v>
      </c>
      <c r="F42" s="469">
        <v>424.7148</v>
      </c>
      <c r="G42" s="467">
        <f>-142-9.872</f>
        <v>-151.872</v>
      </c>
      <c r="H42" s="468">
        <f>'bieu 54'!I43+'bieu 54'!N43</f>
        <v>5665.905076</v>
      </c>
      <c r="I42" s="467">
        <f t="shared" si="3"/>
        <v>71.02999999999975</v>
      </c>
      <c r="J42" s="467">
        <f>'bieu 54'!O43</f>
        <v>46.632</v>
      </c>
      <c r="K42" s="467">
        <v>24.398</v>
      </c>
      <c r="L42" s="533"/>
      <c r="M42" s="533"/>
      <c r="N42" s="140"/>
      <c r="O42" s="541"/>
      <c r="P42" s="350"/>
      <c r="Q42" s="159"/>
    </row>
    <row r="43" spans="1:17" s="49" customFormat="1" ht="27" customHeight="1">
      <c r="A43" s="157">
        <v>33</v>
      </c>
      <c r="B43" s="60" t="s">
        <v>590</v>
      </c>
      <c r="C43" s="529">
        <v>20.1148</v>
      </c>
      <c r="D43" s="467">
        <f t="shared" si="2"/>
        <v>5091.4962</v>
      </c>
      <c r="E43" s="468">
        <f>'bieu 54'!E44</f>
        <v>4669.59</v>
      </c>
      <c r="F43" s="469">
        <v>423.977</v>
      </c>
      <c r="G43" s="467">
        <f>-1.3908-0.68</f>
        <v>-2.0708</v>
      </c>
      <c r="H43" s="468">
        <f>'bieu 54'!I44+'bieu 54'!N44</f>
        <v>5108.7518</v>
      </c>
      <c r="I43" s="467">
        <f t="shared" si="3"/>
        <v>2.8591999999998734</v>
      </c>
      <c r="J43" s="467">
        <f>'bieu 54'!O44</f>
        <v>0</v>
      </c>
      <c r="K43" s="467">
        <v>2.8592</v>
      </c>
      <c r="L43" s="533"/>
      <c r="M43" s="533"/>
      <c r="N43" s="150"/>
      <c r="O43" s="541"/>
      <c r="P43" s="350"/>
      <c r="Q43" s="159"/>
    </row>
    <row r="44" spans="1:17" s="49" customFormat="1" ht="27" customHeight="1">
      <c r="A44" s="157">
        <v>34</v>
      </c>
      <c r="B44" s="60" t="s">
        <v>591</v>
      </c>
      <c r="C44" s="529">
        <v>0</v>
      </c>
      <c r="D44" s="467">
        <f t="shared" si="2"/>
        <v>5145.0034000000005</v>
      </c>
      <c r="E44" s="468">
        <f>'bieu 54'!E45</f>
        <v>4428.01</v>
      </c>
      <c r="F44" s="469">
        <v>742.649</v>
      </c>
      <c r="G44" s="467">
        <f>-10.4556-15.2</f>
        <v>-25.6556</v>
      </c>
      <c r="H44" s="468">
        <f>'bieu 54'!I45+'bieu 54'!N45</f>
        <v>5142.9682</v>
      </c>
      <c r="I44" s="467">
        <f t="shared" si="3"/>
        <v>2.035200000000259</v>
      </c>
      <c r="J44" s="467">
        <f>'bieu 54'!O45</f>
        <v>0</v>
      </c>
      <c r="K44" s="467">
        <v>2.0352</v>
      </c>
      <c r="L44" s="533"/>
      <c r="M44" s="533"/>
      <c r="N44" s="140"/>
      <c r="O44" s="541"/>
      <c r="P44" s="350"/>
      <c r="Q44" s="159"/>
    </row>
    <row r="45" spans="1:17" s="49" customFormat="1" ht="27" customHeight="1">
      <c r="A45" s="157">
        <v>35</v>
      </c>
      <c r="B45" s="60" t="s">
        <v>592</v>
      </c>
      <c r="C45" s="529">
        <v>0</v>
      </c>
      <c r="D45" s="467">
        <f t="shared" si="2"/>
        <v>6538.3786</v>
      </c>
      <c r="E45" s="468">
        <f>'bieu 54'!E46</f>
        <v>6132.125</v>
      </c>
      <c r="F45" s="469">
        <v>418.2042</v>
      </c>
      <c r="G45" s="467">
        <f>-6.0906-2.08-3.78</f>
        <v>-11.9506</v>
      </c>
      <c r="H45" s="468">
        <f>'bieu 54'!I46+'bieu 54'!N46</f>
        <v>6527.3514</v>
      </c>
      <c r="I45" s="467">
        <f t="shared" si="3"/>
        <v>11.027200000000448</v>
      </c>
      <c r="J45" s="467">
        <f>'bieu 54'!O46</f>
        <v>0</v>
      </c>
      <c r="K45" s="467">
        <f>9.402+1.6252</f>
        <v>11.027199999999999</v>
      </c>
      <c r="L45" s="533"/>
      <c r="M45" s="533"/>
      <c r="N45" s="150"/>
      <c r="O45" s="541"/>
      <c r="P45" s="350"/>
      <c r="Q45" s="159"/>
    </row>
    <row r="46" spans="1:17" s="49" customFormat="1" ht="27" customHeight="1">
      <c r="A46" s="157">
        <v>36</v>
      </c>
      <c r="B46" s="60" t="s">
        <v>593</v>
      </c>
      <c r="C46" s="529">
        <v>0.6491</v>
      </c>
      <c r="D46" s="467">
        <f t="shared" si="2"/>
        <v>3367.668</v>
      </c>
      <c r="E46" s="468">
        <f>'bieu 54'!E47</f>
        <v>2778.685</v>
      </c>
      <c r="F46" s="469">
        <v>600.838</v>
      </c>
      <c r="G46" s="467">
        <f>-4.815-7.04</f>
        <v>-11.855</v>
      </c>
      <c r="H46" s="468">
        <f>'bieu 54'!I47+'bieu 54'!N47</f>
        <v>3368.1931</v>
      </c>
      <c r="I46" s="467">
        <f t="shared" si="3"/>
        <v>0.12400000000025102</v>
      </c>
      <c r="J46" s="467">
        <f>'bieu 54'!O47</f>
        <v>0</v>
      </c>
      <c r="K46" s="467">
        <v>0.124</v>
      </c>
      <c r="L46" s="533"/>
      <c r="M46" s="533"/>
      <c r="N46" s="140"/>
      <c r="O46" s="541"/>
      <c r="P46" s="350"/>
      <c r="Q46" s="159"/>
    </row>
    <row r="47" spans="1:17" s="49" customFormat="1" ht="27" customHeight="1">
      <c r="A47" s="157">
        <v>37</v>
      </c>
      <c r="B47" s="60" t="s">
        <v>594</v>
      </c>
      <c r="C47" s="529">
        <v>63.1379</v>
      </c>
      <c r="D47" s="467">
        <f t="shared" si="2"/>
        <v>5511.262600000001</v>
      </c>
      <c r="E47" s="468">
        <f>'bieu 54'!E48</f>
        <v>5133.515</v>
      </c>
      <c r="F47" s="469">
        <v>402.3390000000006</v>
      </c>
      <c r="G47" s="467">
        <f>-15.7914-8.8</f>
        <v>-24.5914</v>
      </c>
      <c r="H47" s="468">
        <f>'bieu 54'!I48+'bieu 54'!N48</f>
        <v>5552.2682</v>
      </c>
      <c r="I47" s="467">
        <f t="shared" si="3"/>
        <v>22.132300000000214</v>
      </c>
      <c r="J47" s="467">
        <f>'bieu 54'!O48</f>
        <v>5.4733</v>
      </c>
      <c r="K47" s="467">
        <f>16.5+0.159</f>
        <v>16.659</v>
      </c>
      <c r="L47" s="533"/>
      <c r="M47" s="533"/>
      <c r="N47" s="150"/>
      <c r="O47" s="541"/>
      <c r="P47" s="350"/>
      <c r="Q47" s="159"/>
    </row>
    <row r="48" spans="1:17" s="49" customFormat="1" ht="27" customHeight="1">
      <c r="A48" s="157">
        <v>38</v>
      </c>
      <c r="B48" s="60" t="s">
        <v>601</v>
      </c>
      <c r="C48" s="529">
        <v>2.34</v>
      </c>
      <c r="D48" s="467">
        <f t="shared" si="2"/>
        <v>4588.464</v>
      </c>
      <c r="E48" s="468">
        <f>'bieu 54'!E49</f>
        <v>4229.515</v>
      </c>
      <c r="F48" s="469">
        <v>358.94899999999956</v>
      </c>
      <c r="G48" s="467"/>
      <c r="H48" s="468">
        <f>'bieu 54'!I49+'bieu 54'!N49</f>
        <v>4588.576</v>
      </c>
      <c r="I48" s="467">
        <f t="shared" si="3"/>
        <v>2.2280000000000655</v>
      </c>
      <c r="J48" s="467">
        <f>'bieu 54'!O49</f>
        <v>0</v>
      </c>
      <c r="K48" s="467">
        <v>2.228</v>
      </c>
      <c r="L48" s="533"/>
      <c r="M48" s="533"/>
      <c r="N48" s="140"/>
      <c r="O48" s="541"/>
      <c r="P48" s="350"/>
      <c r="Q48" s="159"/>
    </row>
    <row r="49" spans="1:17" s="49" customFormat="1" ht="27" customHeight="1">
      <c r="A49" s="157">
        <v>39</v>
      </c>
      <c r="B49" s="60" t="s">
        <v>595</v>
      </c>
      <c r="C49" s="529">
        <v>29.58</v>
      </c>
      <c r="D49" s="467">
        <f t="shared" si="2"/>
        <v>4643.11236</v>
      </c>
      <c r="E49" s="468">
        <f>'bieu 54'!E50</f>
        <v>4252.25</v>
      </c>
      <c r="F49" s="469">
        <v>396.70596</v>
      </c>
      <c r="G49" s="467">
        <f>-4.0836-1.76</f>
        <v>-5.8435999999999995</v>
      </c>
      <c r="H49" s="468">
        <f>'bieu 54'!I50+'bieu 54'!N50</f>
        <v>4600.77036</v>
      </c>
      <c r="I49" s="467">
        <f t="shared" si="3"/>
        <v>71.92199999999957</v>
      </c>
      <c r="J49" s="467">
        <f>'bieu 54'!O50</f>
        <v>0</v>
      </c>
      <c r="K49" s="467">
        <v>71.922</v>
      </c>
      <c r="L49" s="533"/>
      <c r="M49" s="533"/>
      <c r="N49" s="150"/>
      <c r="O49" s="541"/>
      <c r="P49" s="350"/>
      <c r="Q49" s="159"/>
    </row>
    <row r="50" spans="1:17" s="49" customFormat="1" ht="27" customHeight="1">
      <c r="A50" s="157">
        <v>40</v>
      </c>
      <c r="B50" s="60" t="s">
        <v>596</v>
      </c>
      <c r="C50" s="529">
        <v>97.73</v>
      </c>
      <c r="D50" s="467">
        <f t="shared" si="2"/>
        <v>7896.6230000000005</v>
      </c>
      <c r="E50" s="468">
        <f>'bieu 54'!E51</f>
        <v>7283.1</v>
      </c>
      <c r="F50" s="469">
        <v>660.361</v>
      </c>
      <c r="G50" s="467">
        <f>-28.278-18.56</f>
        <v>-46.837999999999994</v>
      </c>
      <c r="H50" s="468">
        <f>'bieu 54'!I51+'bieu 54'!N51</f>
        <v>7897.030908</v>
      </c>
      <c r="I50" s="467">
        <f t="shared" si="3"/>
        <v>97.32209200000034</v>
      </c>
      <c r="J50" s="467">
        <f>'bieu 54'!O51</f>
        <v>89.780692</v>
      </c>
      <c r="K50" s="467">
        <v>7.5414</v>
      </c>
      <c r="L50" s="533"/>
      <c r="M50" s="533"/>
      <c r="N50" s="140"/>
      <c r="O50" s="541"/>
      <c r="P50" s="350"/>
      <c r="Q50" s="159"/>
    </row>
    <row r="51" spans="1:17" s="49" customFormat="1" ht="27" customHeight="1">
      <c r="A51" s="157">
        <v>41</v>
      </c>
      <c r="B51" s="60" t="s">
        <v>597</v>
      </c>
      <c r="C51" s="529">
        <v>0.15</v>
      </c>
      <c r="D51" s="467">
        <f t="shared" si="2"/>
        <v>3410.4968</v>
      </c>
      <c r="E51" s="468">
        <f>'bieu 54'!E52</f>
        <v>3072.68</v>
      </c>
      <c r="F51" s="469">
        <v>351.654</v>
      </c>
      <c r="G51" s="467">
        <f>-8.0772-5.76</f>
        <v>-13.8372</v>
      </c>
      <c r="H51" s="468">
        <f>'bieu 54'!I52+'bieu 54'!N52</f>
        <v>3406.14</v>
      </c>
      <c r="I51" s="467">
        <f t="shared" si="3"/>
        <v>4.506800000000112</v>
      </c>
      <c r="J51" s="467">
        <f>'bieu 54'!O52</f>
        <v>0</v>
      </c>
      <c r="K51" s="467">
        <f>0.0708+4.436</f>
        <v>4.5068</v>
      </c>
      <c r="L51" s="533"/>
      <c r="M51" s="533"/>
      <c r="N51" s="150"/>
      <c r="O51" s="541"/>
      <c r="P51" s="350"/>
      <c r="Q51" s="159"/>
    </row>
    <row r="52" spans="1:17" s="49" customFormat="1" ht="27" customHeight="1">
      <c r="A52" s="157">
        <v>42</v>
      </c>
      <c r="B52" s="60" t="s">
        <v>598</v>
      </c>
      <c r="C52" s="529">
        <v>0</v>
      </c>
      <c r="D52" s="467">
        <f t="shared" si="2"/>
        <v>4414.876</v>
      </c>
      <c r="E52" s="468">
        <f>'bieu 54'!E53</f>
        <v>3784.325</v>
      </c>
      <c r="F52" s="469">
        <v>635.831</v>
      </c>
      <c r="G52" s="467">
        <v>-5.28</v>
      </c>
      <c r="H52" s="468">
        <f>'bieu 54'!I53+'bieu 54'!N53</f>
        <v>4259.325285</v>
      </c>
      <c r="I52" s="467">
        <f t="shared" si="3"/>
        <v>155.5507150000003</v>
      </c>
      <c r="J52" s="467">
        <f>'bieu 54'!O53</f>
        <v>155.48371500000002</v>
      </c>
      <c r="K52" s="467">
        <v>0.067</v>
      </c>
      <c r="L52" s="533"/>
      <c r="M52" s="533"/>
      <c r="N52" s="140"/>
      <c r="O52" s="541"/>
      <c r="P52" s="350"/>
      <c r="Q52" s="159"/>
    </row>
    <row r="53" spans="1:17" s="49" customFormat="1" ht="27" customHeight="1">
      <c r="A53" s="157">
        <v>43</v>
      </c>
      <c r="B53" s="60" t="s">
        <v>599</v>
      </c>
      <c r="C53" s="529">
        <v>0</v>
      </c>
      <c r="D53" s="467">
        <f t="shared" si="2"/>
        <v>4338.647600000001</v>
      </c>
      <c r="E53" s="468">
        <f>'bieu 54'!E54</f>
        <v>3899.035</v>
      </c>
      <c r="F53" s="469">
        <v>441.84400000000056</v>
      </c>
      <c r="G53" s="467">
        <f>-1.7514-0.48</f>
        <v>-2.2314</v>
      </c>
      <c r="H53" s="468">
        <f>'bieu 54'!I54+'bieu 54'!N54</f>
        <v>4338.497</v>
      </c>
      <c r="I53" s="467">
        <f t="shared" si="3"/>
        <v>0.15060000000084983</v>
      </c>
      <c r="J53" s="467">
        <f>'bieu 54'!O54</f>
        <v>0</v>
      </c>
      <c r="K53" s="467">
        <v>0.1506</v>
      </c>
      <c r="L53" s="533"/>
      <c r="M53" s="533"/>
      <c r="N53" s="150"/>
      <c r="O53" s="541"/>
      <c r="P53" s="350"/>
      <c r="Q53" s="159"/>
    </row>
    <row r="54" spans="1:17" s="49" customFormat="1" ht="27" customHeight="1">
      <c r="A54" s="157">
        <v>44</v>
      </c>
      <c r="B54" s="60" t="s">
        <v>600</v>
      </c>
      <c r="C54" s="529">
        <v>10.36</v>
      </c>
      <c r="D54" s="467">
        <f t="shared" si="2"/>
        <v>3983.7479999999996</v>
      </c>
      <c r="E54" s="468">
        <f>'bieu 54'!E55</f>
        <v>3317.825</v>
      </c>
      <c r="F54" s="469">
        <v>665.923</v>
      </c>
      <c r="G54" s="467"/>
      <c r="H54" s="468">
        <f>'bieu 54'!I55+'bieu 54'!N55</f>
        <v>3983.570476</v>
      </c>
      <c r="I54" s="467">
        <f t="shared" si="3"/>
        <v>10.537523999999848</v>
      </c>
      <c r="J54" s="467">
        <f>'bieu 54'!O55</f>
        <v>0</v>
      </c>
      <c r="K54" s="467">
        <v>10.537524</v>
      </c>
      <c r="L54" s="533"/>
      <c r="M54" s="533"/>
      <c r="N54" s="140"/>
      <c r="O54" s="541"/>
      <c r="P54" s="350"/>
      <c r="Q54" s="159"/>
    </row>
    <row r="55" spans="1:17" s="49" customFormat="1" ht="27" customHeight="1">
      <c r="A55" s="157">
        <v>45</v>
      </c>
      <c r="B55" s="60" t="s">
        <v>602</v>
      </c>
      <c r="C55" s="529">
        <v>16</v>
      </c>
      <c r="D55" s="467">
        <f t="shared" si="2"/>
        <v>2535.652</v>
      </c>
      <c r="E55" s="468">
        <f>'bieu 54'!E56</f>
        <v>2248.775</v>
      </c>
      <c r="F55" s="469">
        <v>286.877</v>
      </c>
      <c r="G55" s="467"/>
      <c r="H55" s="468">
        <f>'bieu 54'!I56+'bieu 54'!N56</f>
        <v>2535.7614</v>
      </c>
      <c r="I55" s="467">
        <f t="shared" si="3"/>
        <v>15.890600000000177</v>
      </c>
      <c r="J55" s="467">
        <f>'bieu 54'!O56</f>
        <v>0</v>
      </c>
      <c r="K55" s="467">
        <f>0.7186+15.172</f>
        <v>15.890600000000001</v>
      </c>
      <c r="L55" s="533"/>
      <c r="M55" s="533"/>
      <c r="N55" s="150"/>
      <c r="O55" s="541"/>
      <c r="P55" s="350"/>
      <c r="Q55" s="159"/>
    </row>
    <row r="56" spans="1:17" s="49" customFormat="1" ht="27" customHeight="1">
      <c r="A56" s="157">
        <v>46</v>
      </c>
      <c r="B56" s="60" t="s">
        <v>603</v>
      </c>
      <c r="C56" s="529">
        <v>0</v>
      </c>
      <c r="D56" s="467">
        <f t="shared" si="2"/>
        <v>3351.238</v>
      </c>
      <c r="E56" s="468">
        <f>'bieu 54'!E57</f>
        <v>3161.145</v>
      </c>
      <c r="F56" s="469">
        <v>190.093</v>
      </c>
      <c r="G56" s="467"/>
      <c r="H56" s="468">
        <f>'bieu 54'!I57+'bieu 54'!N57</f>
        <v>3346.2402</v>
      </c>
      <c r="I56" s="467">
        <f t="shared" si="3"/>
        <v>4.997799999999643</v>
      </c>
      <c r="J56" s="467">
        <f>'bieu 54'!O57</f>
        <v>0</v>
      </c>
      <c r="K56" s="467">
        <f>1.3078+3.69</f>
        <v>4.9978</v>
      </c>
      <c r="L56" s="533"/>
      <c r="M56" s="533"/>
      <c r="N56" s="140"/>
      <c r="O56" s="541"/>
      <c r="P56" s="350"/>
      <c r="Q56" s="159"/>
    </row>
    <row r="57" spans="1:17" s="49" customFormat="1" ht="27" customHeight="1">
      <c r="A57" s="157">
        <v>47</v>
      </c>
      <c r="B57" s="60" t="s">
        <v>604</v>
      </c>
      <c r="C57" s="529">
        <v>6</v>
      </c>
      <c r="D57" s="467">
        <f t="shared" si="2"/>
        <v>2731.9409999999993</v>
      </c>
      <c r="E57" s="468">
        <f>'bieu 54'!E58</f>
        <v>2338.615</v>
      </c>
      <c r="F57" s="469">
        <v>417.1006</v>
      </c>
      <c r="G57" s="467">
        <f>-14.3346-9.44</f>
        <v>-23.7746</v>
      </c>
      <c r="H57" s="468">
        <f>'bieu 54'!I58+'bieu 54'!N58</f>
        <v>2733.891</v>
      </c>
      <c r="I57" s="467">
        <f t="shared" si="3"/>
        <v>4.049999999999272</v>
      </c>
      <c r="J57" s="467">
        <f>'bieu 54'!O58</f>
        <v>0</v>
      </c>
      <c r="K57" s="467">
        <f>0.24+3.81</f>
        <v>4.05</v>
      </c>
      <c r="L57" s="533"/>
      <c r="M57" s="533"/>
      <c r="N57" s="150"/>
      <c r="O57" s="541"/>
      <c r="P57" s="350"/>
      <c r="Q57" s="159"/>
    </row>
    <row r="58" spans="1:17" s="49" customFormat="1" ht="27" customHeight="1">
      <c r="A58" s="157">
        <v>48</v>
      </c>
      <c r="B58" s="60" t="s">
        <v>605</v>
      </c>
      <c r="C58" s="529">
        <v>0</v>
      </c>
      <c r="D58" s="467">
        <f t="shared" si="2"/>
        <v>3217.179</v>
      </c>
      <c r="E58" s="468">
        <f>'bieu 54'!E59</f>
        <v>2699.195</v>
      </c>
      <c r="F58" s="469">
        <v>534.2930000000001</v>
      </c>
      <c r="G58" s="467">
        <f>-9.909-6.4</f>
        <v>-16.309</v>
      </c>
      <c r="H58" s="468">
        <f>'bieu 54'!I59+'bieu 54'!N59</f>
        <v>3184.34</v>
      </c>
      <c r="I58" s="467">
        <f t="shared" si="3"/>
        <v>32.83899999999994</v>
      </c>
      <c r="J58" s="467">
        <f>'bieu 54'!O59</f>
        <v>32.839</v>
      </c>
      <c r="K58" s="467"/>
      <c r="L58" s="533"/>
      <c r="M58" s="533"/>
      <c r="N58" s="140"/>
      <c r="O58" s="541"/>
      <c r="P58" s="350"/>
      <c r="Q58" s="159"/>
    </row>
    <row r="59" spans="1:17" s="49" customFormat="1" ht="27" customHeight="1">
      <c r="A59" s="157">
        <v>49</v>
      </c>
      <c r="B59" s="60" t="s">
        <v>606</v>
      </c>
      <c r="C59" s="530">
        <v>291.2335</v>
      </c>
      <c r="D59" s="467">
        <f t="shared" si="2"/>
        <v>7847.883</v>
      </c>
      <c r="E59" s="468">
        <f>'bieu 54'!E60</f>
        <v>7090.54</v>
      </c>
      <c r="F59" s="469">
        <v>757.3429999999996</v>
      </c>
      <c r="G59" s="467"/>
      <c r="H59" s="468">
        <f>'bieu 54'!I60+'bieu 54'!N60</f>
        <v>7612.689654</v>
      </c>
      <c r="I59" s="467">
        <f t="shared" si="3"/>
        <v>526.4268460000003</v>
      </c>
      <c r="J59" s="467">
        <f>'bieu 54'!O60</f>
        <v>525.577846</v>
      </c>
      <c r="K59" s="467">
        <v>0.849</v>
      </c>
      <c r="L59" s="533"/>
      <c r="M59" s="533"/>
      <c r="N59" s="549"/>
      <c r="O59" s="541"/>
      <c r="P59" s="350"/>
      <c r="Q59" s="159"/>
    </row>
    <row r="60" spans="1:17" s="49" customFormat="1" ht="27" customHeight="1">
      <c r="A60" s="157">
        <v>50</v>
      </c>
      <c r="B60" s="60" t="s">
        <v>607</v>
      </c>
      <c r="C60" s="530">
        <v>19.104</v>
      </c>
      <c r="D60" s="467">
        <f t="shared" si="2"/>
        <v>6993.623</v>
      </c>
      <c r="E60" s="468">
        <f>'bieu 54'!E61</f>
        <v>6427.452</v>
      </c>
      <c r="F60" s="469">
        <v>579.0909999999994</v>
      </c>
      <c r="G60" s="467">
        <f>-7.8-5.12</f>
        <v>-12.92</v>
      </c>
      <c r="H60" s="468">
        <f>'bieu 54'!I61+'bieu 54'!N61</f>
        <v>6943.7967</v>
      </c>
      <c r="I60" s="467">
        <f t="shared" si="3"/>
        <v>68.93029999999999</v>
      </c>
      <c r="J60" s="467">
        <f>'bieu 54'!O61</f>
        <v>40.8263</v>
      </c>
      <c r="K60" s="467">
        <v>28.104</v>
      </c>
      <c r="L60" s="533"/>
      <c r="M60" s="533"/>
      <c r="N60" s="549"/>
      <c r="O60" s="541"/>
      <c r="P60" s="350"/>
      <c r="Q60" s="159"/>
    </row>
    <row r="61" spans="1:17" s="49" customFormat="1" ht="27" customHeight="1">
      <c r="A61" s="157">
        <v>51</v>
      </c>
      <c r="B61" s="60" t="s">
        <v>608</v>
      </c>
      <c r="C61" s="530">
        <v>0</v>
      </c>
      <c r="D61" s="467">
        <f t="shared" si="2"/>
        <v>4708.535</v>
      </c>
      <c r="E61" s="468">
        <f>'bieu 54'!E62</f>
        <v>4118.6</v>
      </c>
      <c r="F61" s="469">
        <v>592.3349999999989</v>
      </c>
      <c r="G61" s="467">
        <v>-2.4</v>
      </c>
      <c r="H61" s="468">
        <f>'bieu 54'!I62+'bieu 54'!N62</f>
        <v>4697.275</v>
      </c>
      <c r="I61" s="467">
        <f t="shared" si="3"/>
        <v>11.260000000000218</v>
      </c>
      <c r="J61" s="467">
        <f>'bieu 54'!O62</f>
        <v>0</v>
      </c>
      <c r="K61" s="467">
        <v>11.26</v>
      </c>
      <c r="L61" s="533"/>
      <c r="M61" s="533"/>
      <c r="N61" s="549"/>
      <c r="O61" s="541"/>
      <c r="P61" s="350"/>
      <c r="Q61" s="159"/>
    </row>
    <row r="62" spans="1:17" s="49" customFormat="1" ht="27" customHeight="1">
      <c r="A62" s="157">
        <v>52</v>
      </c>
      <c r="B62" s="60" t="s">
        <v>609</v>
      </c>
      <c r="C62" s="530">
        <v>69.914</v>
      </c>
      <c r="D62" s="467">
        <f t="shared" si="2"/>
        <v>8811.113</v>
      </c>
      <c r="E62" s="468">
        <f>'bieu 54'!E63</f>
        <v>7927.113</v>
      </c>
      <c r="F62" s="469">
        <v>992.7</v>
      </c>
      <c r="G62" s="467">
        <f>-100-8.7</f>
        <v>-108.7</v>
      </c>
      <c r="H62" s="468">
        <f>'bieu 54'!I63+'bieu 54'!N63</f>
        <v>8860.019</v>
      </c>
      <c r="I62" s="467">
        <f t="shared" si="3"/>
        <v>21.00799999999981</v>
      </c>
      <c r="J62" s="467">
        <f>'bieu 54'!O63</f>
        <v>0</v>
      </c>
      <c r="K62" s="467">
        <v>21.008</v>
      </c>
      <c r="L62" s="533"/>
      <c r="M62" s="533"/>
      <c r="N62" s="549"/>
      <c r="O62" s="541"/>
      <c r="P62" s="350"/>
      <c r="Q62" s="159"/>
    </row>
    <row r="63" spans="1:17" s="49" customFormat="1" ht="27" customHeight="1">
      <c r="A63" s="157">
        <v>53</v>
      </c>
      <c r="B63" s="60" t="s">
        <v>610</v>
      </c>
      <c r="C63" s="530">
        <v>0</v>
      </c>
      <c r="D63" s="467">
        <f>E63+F63+G63</f>
        <v>7092.582</v>
      </c>
      <c r="E63" s="468">
        <f>'bieu 54'!E64</f>
        <v>6356.822</v>
      </c>
      <c r="F63" s="469">
        <v>835.7600000000001</v>
      </c>
      <c r="G63" s="467">
        <v>-100</v>
      </c>
      <c r="H63" s="468">
        <f>'bieu 54'!I64+'bieu 54'!N64</f>
        <v>7079.626</v>
      </c>
      <c r="I63" s="467">
        <f t="shared" si="3"/>
        <v>12.956000000000131</v>
      </c>
      <c r="J63" s="467">
        <f>'bieu 54'!O64</f>
        <v>0</v>
      </c>
      <c r="K63" s="467">
        <v>12.956</v>
      </c>
      <c r="L63" s="533"/>
      <c r="M63" s="533"/>
      <c r="N63" s="549"/>
      <c r="O63" s="541"/>
      <c r="P63" s="350"/>
      <c r="Q63" s="159"/>
    </row>
    <row r="64" spans="1:17" s="49" customFormat="1" ht="27" customHeight="1">
      <c r="A64" s="157">
        <v>54</v>
      </c>
      <c r="B64" s="60" t="s">
        <v>611</v>
      </c>
      <c r="C64" s="530">
        <v>0</v>
      </c>
      <c r="D64" s="467">
        <f t="shared" si="2"/>
        <v>4241.986</v>
      </c>
      <c r="E64" s="468">
        <f>'bieu 54'!E65</f>
        <v>3731.93</v>
      </c>
      <c r="F64" s="469">
        <v>519.3560000000003</v>
      </c>
      <c r="G64" s="467">
        <v>-9.3</v>
      </c>
      <c r="H64" s="468">
        <f>'bieu 54'!I65+'bieu 54'!N65</f>
        <v>4219.03647</v>
      </c>
      <c r="I64" s="467">
        <f t="shared" si="3"/>
        <v>22.949529999999868</v>
      </c>
      <c r="J64" s="467">
        <f>'bieu 54'!O65</f>
        <v>18.48953</v>
      </c>
      <c r="K64" s="467">
        <v>4.46</v>
      </c>
      <c r="L64" s="533"/>
      <c r="M64" s="533"/>
      <c r="N64" s="549"/>
      <c r="O64" s="541"/>
      <c r="P64" s="350"/>
      <c r="Q64" s="159"/>
    </row>
    <row r="65" spans="1:17" s="49" customFormat="1" ht="27" customHeight="1">
      <c r="A65" s="157">
        <v>55</v>
      </c>
      <c r="B65" s="60" t="s">
        <v>612</v>
      </c>
      <c r="C65" s="530">
        <v>0</v>
      </c>
      <c r="D65" s="467">
        <f t="shared" si="2"/>
        <v>3744.5930000000003</v>
      </c>
      <c r="E65" s="468">
        <f>'bieu 54'!E66</f>
        <v>3432.612</v>
      </c>
      <c r="F65" s="469">
        <v>316.3309999999999</v>
      </c>
      <c r="G65" s="467">
        <v>-4.35</v>
      </c>
      <c r="H65" s="468">
        <f>'bieu 54'!I66+'bieu 54'!N66</f>
        <v>3698.583</v>
      </c>
      <c r="I65" s="467">
        <f t="shared" si="3"/>
        <v>46.01000000000022</v>
      </c>
      <c r="J65" s="467">
        <f>'bieu 54'!O66</f>
        <v>46.01</v>
      </c>
      <c r="K65" s="467"/>
      <c r="L65" s="533"/>
      <c r="M65" s="533"/>
      <c r="N65" s="549"/>
      <c r="O65" s="541"/>
      <c r="P65" s="350"/>
      <c r="Q65" s="159"/>
    </row>
    <row r="66" spans="1:17" s="49" customFormat="1" ht="27" customHeight="1">
      <c r="A66" s="157">
        <v>56</v>
      </c>
      <c r="B66" s="60" t="s">
        <v>613</v>
      </c>
      <c r="C66" s="530">
        <v>166.4433</v>
      </c>
      <c r="D66" s="467">
        <f t="shared" si="2"/>
        <v>9677.071</v>
      </c>
      <c r="E66" s="468">
        <f>'bieu 54'!E67</f>
        <v>8354.002</v>
      </c>
      <c r="F66" s="469">
        <v>1323.0689999999993</v>
      </c>
      <c r="G66" s="467"/>
      <c r="H66" s="468">
        <f>'bieu 54'!I67+'bieu 54'!N67</f>
        <v>9752.176594</v>
      </c>
      <c r="I66" s="467">
        <f t="shared" si="3"/>
        <v>91.33770600000025</v>
      </c>
      <c r="J66" s="467">
        <f>'bieu 54'!O67</f>
        <v>91.183106</v>
      </c>
      <c r="K66" s="467">
        <v>0.1546</v>
      </c>
      <c r="L66" s="533"/>
      <c r="M66" s="533"/>
      <c r="N66" s="549"/>
      <c r="O66" s="541"/>
      <c r="P66" s="350"/>
      <c r="Q66" s="159"/>
    </row>
    <row r="67" spans="1:17" s="49" customFormat="1" ht="27" customHeight="1">
      <c r="A67" s="157">
        <v>57</v>
      </c>
      <c r="B67" s="60" t="s">
        <v>614</v>
      </c>
      <c r="C67" s="530">
        <v>0</v>
      </c>
      <c r="D67" s="467">
        <f t="shared" si="2"/>
        <v>4770.258</v>
      </c>
      <c r="E67" s="468">
        <f>'bieu 54'!E68</f>
        <v>4389.619</v>
      </c>
      <c r="F67" s="469">
        <v>383.6390000000006</v>
      </c>
      <c r="G67" s="467">
        <v>-3</v>
      </c>
      <c r="H67" s="468">
        <f>'bieu 54'!I68+'bieu 54'!N68</f>
        <v>4699.00071</v>
      </c>
      <c r="I67" s="467">
        <f>C67+D67-H67</f>
        <v>71.25728999999956</v>
      </c>
      <c r="J67" s="467">
        <f>'bieu 54'!O68</f>
        <v>35.78229</v>
      </c>
      <c r="K67" s="467">
        <v>35.475</v>
      </c>
      <c r="L67" s="533"/>
      <c r="M67" s="533"/>
      <c r="N67" s="549"/>
      <c r="O67" s="541"/>
      <c r="P67" s="350"/>
      <c r="Q67" s="159"/>
    </row>
    <row r="68" spans="1:17" s="49" customFormat="1" ht="27" customHeight="1">
      <c r="A68" s="157">
        <v>58</v>
      </c>
      <c r="B68" s="60" t="s">
        <v>615</v>
      </c>
      <c r="C68" s="530">
        <v>0</v>
      </c>
      <c r="D68" s="467">
        <f t="shared" si="2"/>
        <v>3534.9100000000003</v>
      </c>
      <c r="E68" s="468">
        <f>'bieu 54'!E69</f>
        <v>3293.015</v>
      </c>
      <c r="F68" s="469">
        <v>275.8950000000003</v>
      </c>
      <c r="G68" s="467">
        <v>-34</v>
      </c>
      <c r="H68" s="468">
        <f>'bieu 54'!I69+'bieu 54'!N69</f>
        <v>3534.675</v>
      </c>
      <c r="I68" s="467">
        <f t="shared" si="3"/>
        <v>0.23500000000012733</v>
      </c>
      <c r="J68" s="467">
        <f>'bieu 54'!O69</f>
        <v>0</v>
      </c>
      <c r="K68" s="467">
        <v>0.235</v>
      </c>
      <c r="L68" s="533"/>
      <c r="M68" s="533"/>
      <c r="N68" s="549"/>
      <c r="O68" s="541"/>
      <c r="P68" s="350"/>
      <c r="Q68" s="159"/>
    </row>
    <row r="69" spans="1:17" s="49" customFormat="1" ht="27" customHeight="1">
      <c r="A69" s="157">
        <v>59</v>
      </c>
      <c r="B69" s="60" t="s">
        <v>782</v>
      </c>
      <c r="C69" s="542">
        <f>23.84</f>
        <v>23.84</v>
      </c>
      <c r="D69" s="467">
        <f t="shared" si="2"/>
        <v>3414.9797</v>
      </c>
      <c r="E69" s="468">
        <f>'bieu 54'!E70</f>
        <v>5172.424</v>
      </c>
      <c r="F69" s="469">
        <v>71.222</v>
      </c>
      <c r="G69" s="467">
        <v>-1828.6663</v>
      </c>
      <c r="H69" s="468">
        <f>'bieu 54'!I70+'bieu 54'!N70</f>
        <v>3438.8197</v>
      </c>
      <c r="I69" s="467">
        <f t="shared" si="3"/>
        <v>0</v>
      </c>
      <c r="J69" s="467"/>
      <c r="K69" s="467"/>
      <c r="L69" s="533"/>
      <c r="M69" s="533"/>
      <c r="N69" s="549"/>
      <c r="O69" s="541"/>
      <c r="P69" s="350"/>
      <c r="Q69" s="159"/>
    </row>
    <row r="70" spans="1:17" s="49" customFormat="1" ht="27" customHeight="1">
      <c r="A70" s="157">
        <v>60</v>
      </c>
      <c r="B70" s="60" t="s">
        <v>616</v>
      </c>
      <c r="C70" s="531">
        <v>0</v>
      </c>
      <c r="D70" s="467">
        <f t="shared" si="2"/>
        <v>5491.63</v>
      </c>
      <c r="E70" s="468">
        <f>'bieu 54'!E71</f>
        <v>5080.8</v>
      </c>
      <c r="F70" s="469">
        <v>464.55000000000024</v>
      </c>
      <c r="G70" s="467">
        <f>-46-1.95-5.77</f>
        <v>-53.72</v>
      </c>
      <c r="H70" s="468">
        <f>'bieu 54'!I71+'bieu 54'!N71</f>
        <v>5466.09</v>
      </c>
      <c r="I70" s="467">
        <f t="shared" si="3"/>
        <v>25.539999999999964</v>
      </c>
      <c r="J70" s="467">
        <f>'bieu 54'!O71</f>
        <v>23.69</v>
      </c>
      <c r="K70" s="467">
        <v>1.85</v>
      </c>
      <c r="L70" s="533"/>
      <c r="M70" s="533"/>
      <c r="N70" s="549"/>
      <c r="O70" s="541"/>
      <c r="P70" s="350"/>
      <c r="Q70" s="159"/>
    </row>
    <row r="71" spans="1:17" s="49" customFormat="1" ht="27" customHeight="1">
      <c r="A71" s="157">
        <v>61</v>
      </c>
      <c r="B71" s="60" t="s">
        <v>617</v>
      </c>
      <c r="C71" s="531">
        <v>20.4978</v>
      </c>
      <c r="D71" s="467">
        <f t="shared" si="2"/>
        <v>3425.866</v>
      </c>
      <c r="E71" s="468">
        <f>'bieu 54'!E72</f>
        <v>3166.748</v>
      </c>
      <c r="F71" s="469">
        <v>260.31799999999953</v>
      </c>
      <c r="G71" s="467">
        <v>-1.2</v>
      </c>
      <c r="H71" s="468">
        <f>'bieu 54'!I72+'bieu 54'!N72</f>
        <v>3260.730416</v>
      </c>
      <c r="I71" s="467">
        <f t="shared" si="3"/>
        <v>185.6333840000002</v>
      </c>
      <c r="J71" s="467">
        <f>'bieu 54'!O72</f>
        <v>185.633384</v>
      </c>
      <c r="K71" s="467"/>
      <c r="L71" s="533"/>
      <c r="M71" s="533"/>
      <c r="N71" s="549"/>
      <c r="O71" s="541"/>
      <c r="P71" s="350"/>
      <c r="Q71" s="159"/>
    </row>
    <row r="72" spans="1:17" s="49" customFormat="1" ht="27" customHeight="1">
      <c r="A72" s="157">
        <v>62</v>
      </c>
      <c r="B72" s="60" t="s">
        <v>618</v>
      </c>
      <c r="C72" s="531">
        <v>0</v>
      </c>
      <c r="D72" s="467">
        <f t="shared" si="2"/>
        <v>3351.636</v>
      </c>
      <c r="E72" s="468">
        <f>'bieu 54'!E73</f>
        <v>2976.14</v>
      </c>
      <c r="F72" s="469">
        <v>378.7960000000003</v>
      </c>
      <c r="G72" s="467">
        <v>-3.3</v>
      </c>
      <c r="H72" s="468">
        <f>'bieu 54'!I73+'bieu 54'!N73</f>
        <v>3351.636</v>
      </c>
      <c r="I72" s="467">
        <f t="shared" si="3"/>
        <v>0</v>
      </c>
      <c r="J72" s="467">
        <f>'bieu 54'!O73</f>
        <v>0</v>
      </c>
      <c r="K72" s="467"/>
      <c r="L72" s="533"/>
      <c r="M72" s="533"/>
      <c r="N72" s="549"/>
      <c r="O72" s="541"/>
      <c r="P72" s="350"/>
      <c r="Q72" s="159"/>
    </row>
    <row r="73" spans="1:17" s="49" customFormat="1" ht="27" customHeight="1">
      <c r="A73" s="157">
        <v>63</v>
      </c>
      <c r="B73" s="60" t="s">
        <v>619</v>
      </c>
      <c r="C73" s="531">
        <v>0</v>
      </c>
      <c r="D73" s="467">
        <f t="shared" si="2"/>
        <v>9983.797999999999</v>
      </c>
      <c r="E73" s="468">
        <f>'bieu 54'!E74</f>
        <v>9055.37</v>
      </c>
      <c r="F73" s="469">
        <v>944.0279999999991</v>
      </c>
      <c r="G73" s="467">
        <v>-15.6</v>
      </c>
      <c r="H73" s="468">
        <f>'bieu 54'!I74+'bieu 54'!N74</f>
        <v>9925.050049</v>
      </c>
      <c r="I73" s="467">
        <f t="shared" si="3"/>
        <v>58.747950999999375</v>
      </c>
      <c r="J73" s="467">
        <f>'bieu 54'!O74</f>
        <v>56.617951</v>
      </c>
      <c r="K73" s="467">
        <v>2.13</v>
      </c>
      <c r="L73" s="533"/>
      <c r="M73" s="533"/>
      <c r="N73" s="549"/>
      <c r="O73" s="541"/>
      <c r="P73" s="350"/>
      <c r="Q73" s="159"/>
    </row>
    <row r="74" spans="1:17" s="49" customFormat="1" ht="27" customHeight="1">
      <c r="A74" s="157">
        <v>64</v>
      </c>
      <c r="B74" s="60" t="s">
        <v>620</v>
      </c>
      <c r="C74" s="531">
        <v>0</v>
      </c>
      <c r="D74" s="467">
        <f t="shared" si="2"/>
        <v>5800.214999999999</v>
      </c>
      <c r="E74" s="468">
        <f>'bieu 54'!E75</f>
        <v>4994.85</v>
      </c>
      <c r="F74" s="469">
        <v>810.1449999999991</v>
      </c>
      <c r="G74" s="467">
        <v>-4.78</v>
      </c>
      <c r="H74" s="468">
        <f>'bieu 54'!I75+'bieu 54'!N75</f>
        <v>5798.195</v>
      </c>
      <c r="I74" s="467">
        <f t="shared" si="3"/>
        <v>2.019999999999527</v>
      </c>
      <c r="J74" s="467">
        <f>'bieu 54'!O75</f>
        <v>0</v>
      </c>
      <c r="K74" s="467">
        <v>2.02</v>
      </c>
      <c r="L74" s="533"/>
      <c r="M74" s="533"/>
      <c r="N74" s="549"/>
      <c r="O74" s="541"/>
      <c r="P74" s="350"/>
      <c r="Q74" s="159"/>
    </row>
    <row r="75" spans="1:17" s="49" customFormat="1" ht="27" customHeight="1">
      <c r="A75" s="157">
        <v>65</v>
      </c>
      <c r="B75" s="60" t="s">
        <v>621</v>
      </c>
      <c r="C75" s="531">
        <v>0.6</v>
      </c>
      <c r="D75" s="467">
        <f t="shared" si="2"/>
        <v>3476.3360000000002</v>
      </c>
      <c r="E75" s="468">
        <f>'bieu 54'!E76</f>
        <v>3171.12</v>
      </c>
      <c r="F75" s="469">
        <v>312.26600000000053</v>
      </c>
      <c r="G75" s="467">
        <v>-7.05</v>
      </c>
      <c r="H75" s="468">
        <f>'bieu 54'!I76+'bieu 54'!N76</f>
        <v>3456.815899</v>
      </c>
      <c r="I75" s="467">
        <f t="shared" si="3"/>
        <v>20.120100999999977</v>
      </c>
      <c r="J75" s="467">
        <f>'bieu 54'!O76</f>
        <v>19.520101</v>
      </c>
      <c r="K75" s="467">
        <v>0.6</v>
      </c>
      <c r="L75" s="533"/>
      <c r="M75" s="533"/>
      <c r="N75" s="549"/>
      <c r="O75" s="541"/>
      <c r="P75" s="350"/>
      <c r="Q75" s="159"/>
    </row>
    <row r="76" spans="1:17" s="49" customFormat="1" ht="27" customHeight="1">
      <c r="A76" s="157">
        <v>66</v>
      </c>
      <c r="B76" s="60" t="s">
        <v>622</v>
      </c>
      <c r="C76" s="531">
        <v>0</v>
      </c>
      <c r="D76" s="467">
        <f t="shared" si="2"/>
        <v>4650.787999999999</v>
      </c>
      <c r="E76" s="468">
        <f>'bieu 54'!E77</f>
        <v>4013.41</v>
      </c>
      <c r="F76" s="469">
        <v>639.4779999999996</v>
      </c>
      <c r="G76" s="467">
        <v>-2.1</v>
      </c>
      <c r="H76" s="468">
        <f>'bieu 54'!I77+'bieu 54'!N77</f>
        <v>4650.788</v>
      </c>
      <c r="I76" s="467">
        <f t="shared" si="3"/>
        <v>0</v>
      </c>
      <c r="J76" s="467">
        <f>'bieu 54'!O77</f>
        <v>0</v>
      </c>
      <c r="K76" s="467"/>
      <c r="L76" s="533"/>
      <c r="M76" s="533"/>
      <c r="N76" s="549"/>
      <c r="O76" s="541"/>
      <c r="P76" s="350"/>
      <c r="Q76" s="159"/>
    </row>
    <row r="77" spans="1:17" s="49" customFormat="1" ht="27" customHeight="1">
      <c r="A77" s="157">
        <v>67</v>
      </c>
      <c r="B77" s="60" t="s">
        <v>624</v>
      </c>
      <c r="C77" s="531">
        <v>12.4</v>
      </c>
      <c r="D77" s="467">
        <f aca="true" t="shared" si="4" ref="D77:D107">E77+F77+G77</f>
        <v>5284.706</v>
      </c>
      <c r="E77" s="468">
        <f>'bieu 54'!E78</f>
        <v>4704.43</v>
      </c>
      <c r="F77" s="469">
        <v>682.9520000000005</v>
      </c>
      <c r="G77" s="467">
        <f>-100-2.676</f>
        <v>-102.676</v>
      </c>
      <c r="H77" s="468">
        <f>'bieu 54'!I78+'bieu 54'!N78</f>
        <v>5248.576</v>
      </c>
      <c r="I77" s="467">
        <f aca="true" t="shared" si="5" ref="I77:I98">C77+D77-H77</f>
        <v>48.529999999999745</v>
      </c>
      <c r="J77" s="467">
        <f>'bieu 54'!O78</f>
        <v>25.058</v>
      </c>
      <c r="K77" s="467">
        <v>23.472</v>
      </c>
      <c r="L77" s="533"/>
      <c r="M77" s="533"/>
      <c r="N77" s="549"/>
      <c r="O77" s="541"/>
      <c r="P77" s="350"/>
      <c r="Q77" s="159"/>
    </row>
    <row r="78" spans="1:17" s="49" customFormat="1" ht="27" customHeight="1">
      <c r="A78" s="157">
        <v>68</v>
      </c>
      <c r="B78" s="60" t="s">
        <v>322</v>
      </c>
      <c r="C78" s="531">
        <v>4.88</v>
      </c>
      <c r="D78" s="467">
        <f t="shared" si="4"/>
        <v>4237.211</v>
      </c>
      <c r="E78" s="468">
        <f>'bieu 54'!E79</f>
        <v>3615.202</v>
      </c>
      <c r="F78" s="467">
        <v>628.4859999999995</v>
      </c>
      <c r="G78" s="467">
        <f>-2.697-3.78</f>
        <v>-6.477</v>
      </c>
      <c r="H78" s="468">
        <f>'bieu 54'!I79+'bieu 54'!N79</f>
        <v>4232.7815</v>
      </c>
      <c r="I78" s="467">
        <f t="shared" si="5"/>
        <v>9.309500000000298</v>
      </c>
      <c r="J78" s="467">
        <f>'bieu 54'!O79</f>
        <v>5.7645</v>
      </c>
      <c r="K78" s="467">
        <v>3.545</v>
      </c>
      <c r="L78" s="533"/>
      <c r="M78" s="533"/>
      <c r="N78" s="549"/>
      <c r="O78" s="541"/>
      <c r="P78" s="350"/>
      <c r="Q78" s="159"/>
    </row>
    <row r="79" spans="1:17" s="49" customFormat="1" ht="27" customHeight="1">
      <c r="A79" s="157">
        <v>69</v>
      </c>
      <c r="B79" s="60" t="s">
        <v>323</v>
      </c>
      <c r="C79" s="531">
        <v>0</v>
      </c>
      <c r="D79" s="467">
        <f t="shared" si="4"/>
        <v>3711.7855</v>
      </c>
      <c r="E79" s="468">
        <f>'bieu 54'!E80</f>
        <v>3343.455</v>
      </c>
      <c r="F79" s="467">
        <v>371.26999999999987</v>
      </c>
      <c r="G79" s="467">
        <v>-2.9395</v>
      </c>
      <c r="H79" s="468">
        <f>'bieu 54'!I80+'bieu 54'!N80</f>
        <v>3709.0685</v>
      </c>
      <c r="I79" s="467">
        <f t="shared" si="5"/>
        <v>2.7170000000000982</v>
      </c>
      <c r="J79" s="467">
        <f>'bieu 54'!O80</f>
        <v>2.2645</v>
      </c>
      <c r="K79" s="467">
        <v>0.4525</v>
      </c>
      <c r="L79" s="533"/>
      <c r="M79" s="533"/>
      <c r="N79" s="549"/>
      <c r="O79" s="541"/>
      <c r="P79" s="350"/>
      <c r="Q79" s="159"/>
    </row>
    <row r="80" spans="1:17" s="49" customFormat="1" ht="27" customHeight="1">
      <c r="A80" s="157">
        <v>70</v>
      </c>
      <c r="B80" s="60" t="s">
        <v>324</v>
      </c>
      <c r="C80" s="531">
        <v>0.108</v>
      </c>
      <c r="D80" s="467">
        <f t="shared" si="4"/>
        <v>7986.875999999999</v>
      </c>
      <c r="E80" s="468">
        <f>'bieu 54'!E81</f>
        <v>7392.488</v>
      </c>
      <c r="F80" s="467">
        <v>663.6219999999997</v>
      </c>
      <c r="G80" s="467">
        <f>-50-13.464-5.77</f>
        <v>-69.234</v>
      </c>
      <c r="H80" s="468">
        <f>'bieu 54'!I81+'bieu 54'!N81</f>
        <v>7985.923</v>
      </c>
      <c r="I80" s="467">
        <f t="shared" si="5"/>
        <v>1.0609999999996944</v>
      </c>
      <c r="J80" s="467">
        <f>'bieu 54'!O81</f>
        <v>0</v>
      </c>
      <c r="K80" s="467">
        <f>1.04+0.021</f>
        <v>1.061</v>
      </c>
      <c r="L80" s="533"/>
      <c r="M80" s="533"/>
      <c r="N80" s="549"/>
      <c r="O80" s="541"/>
      <c r="P80" s="350"/>
      <c r="Q80" s="159"/>
    </row>
    <row r="81" spans="1:17" s="49" customFormat="1" ht="27" customHeight="1">
      <c r="A81" s="157">
        <v>71</v>
      </c>
      <c r="B81" s="60" t="s">
        <v>325</v>
      </c>
      <c r="C81" s="531">
        <v>2.064</v>
      </c>
      <c r="D81" s="467">
        <f t="shared" si="4"/>
        <v>5680.865</v>
      </c>
      <c r="E81" s="468">
        <f>'bieu 54'!E82</f>
        <v>5211.398</v>
      </c>
      <c r="F81" s="467">
        <v>569.4669999999993</v>
      </c>
      <c r="G81" s="467">
        <v>-100</v>
      </c>
      <c r="H81" s="468">
        <f>'bieu 54'!I82+'bieu 54'!N82</f>
        <v>5654.262</v>
      </c>
      <c r="I81" s="467">
        <f t="shared" si="5"/>
        <v>28.66700000000037</v>
      </c>
      <c r="J81" s="467">
        <f>'bieu 54'!O82</f>
        <v>15.211</v>
      </c>
      <c r="K81" s="467">
        <v>13.456</v>
      </c>
      <c r="L81" s="533"/>
      <c r="M81" s="533"/>
      <c r="N81" s="549"/>
      <c r="O81" s="541"/>
      <c r="P81" s="350"/>
      <c r="Q81" s="159"/>
    </row>
    <row r="82" spans="1:17" s="49" customFormat="1" ht="27" customHeight="1">
      <c r="A82" s="157">
        <v>72</v>
      </c>
      <c r="B82" s="60" t="s">
        <v>326</v>
      </c>
      <c r="C82" s="531">
        <v>0</v>
      </c>
      <c r="D82" s="467">
        <f t="shared" si="4"/>
        <v>4254.8234999999995</v>
      </c>
      <c r="E82" s="468">
        <f>'bieu 54'!E83</f>
        <v>3860.415</v>
      </c>
      <c r="F82" s="467">
        <v>417.03400000000005</v>
      </c>
      <c r="G82" s="467">
        <v>-22.6255</v>
      </c>
      <c r="H82" s="468">
        <f>'bieu 54'!I83+'bieu 54'!N83</f>
        <v>4248.745</v>
      </c>
      <c r="I82" s="467">
        <f t="shared" si="5"/>
        <v>6.078499999999622</v>
      </c>
      <c r="J82" s="467">
        <f>'bieu 54'!O83</f>
        <v>0</v>
      </c>
      <c r="K82" s="467">
        <v>6.0785</v>
      </c>
      <c r="L82" s="533"/>
      <c r="M82" s="533"/>
      <c r="N82" s="549"/>
      <c r="O82" s="541"/>
      <c r="P82" s="350"/>
      <c r="Q82" s="159"/>
    </row>
    <row r="83" spans="1:17" s="49" customFormat="1" ht="27" customHeight="1">
      <c r="A83" s="157">
        <v>73</v>
      </c>
      <c r="B83" s="58" t="s">
        <v>327</v>
      </c>
      <c r="C83" s="531">
        <v>0</v>
      </c>
      <c r="D83" s="467">
        <f t="shared" si="4"/>
        <v>4007.0055</v>
      </c>
      <c r="E83" s="468">
        <f>'bieu 54'!E84</f>
        <v>3582.315</v>
      </c>
      <c r="F83" s="467">
        <v>437.66499999999996</v>
      </c>
      <c r="G83" s="467">
        <v>-12.9745</v>
      </c>
      <c r="H83" s="468">
        <f>'bieu 54'!I84+'bieu 54'!N84</f>
        <v>4007.0055</v>
      </c>
      <c r="I83" s="467">
        <f t="shared" si="5"/>
        <v>0</v>
      </c>
      <c r="J83" s="467">
        <f>'bieu 54'!O84</f>
        <v>0</v>
      </c>
      <c r="K83" s="466"/>
      <c r="L83" s="533"/>
      <c r="M83" s="533"/>
      <c r="N83" s="549"/>
      <c r="O83" s="541"/>
      <c r="P83" s="350"/>
      <c r="Q83" s="159"/>
    </row>
    <row r="84" spans="1:17" s="49" customFormat="1" ht="27" customHeight="1">
      <c r="A84" s="157">
        <v>74</v>
      </c>
      <c r="B84" s="58" t="s">
        <v>328</v>
      </c>
      <c r="C84" s="531">
        <v>2.695334</v>
      </c>
      <c r="D84" s="467">
        <f t="shared" si="4"/>
        <v>4984.152999999999</v>
      </c>
      <c r="E84" s="468">
        <f>'bieu 54'!E85</f>
        <v>4250.216</v>
      </c>
      <c r="F84" s="467">
        <v>739.5149999999996</v>
      </c>
      <c r="G84" s="467">
        <v>-5.578</v>
      </c>
      <c r="H84" s="468">
        <f>'bieu 54'!I85+'bieu 54'!N85</f>
        <v>4977.894334</v>
      </c>
      <c r="I84" s="467">
        <f t="shared" si="5"/>
        <v>8.953999999999724</v>
      </c>
      <c r="J84" s="467">
        <f>'bieu 54'!O85</f>
        <v>0</v>
      </c>
      <c r="K84" s="467">
        <v>8.954</v>
      </c>
      <c r="L84" s="533"/>
      <c r="M84" s="533"/>
      <c r="N84" s="549"/>
      <c r="O84" s="541"/>
      <c r="P84" s="350"/>
      <c r="Q84" s="159"/>
    </row>
    <row r="85" spans="1:17" s="49" customFormat="1" ht="27" customHeight="1">
      <c r="A85" s="157">
        <v>75</v>
      </c>
      <c r="B85" s="58" t="str">
        <f>'bieu 56'!B85</f>
        <v>Trường THCS xã Tân Thành</v>
      </c>
      <c r="C85" s="542">
        <v>7.152</v>
      </c>
      <c r="D85" s="467">
        <f t="shared" si="4"/>
        <v>1969.6078999999997</v>
      </c>
      <c r="E85" s="468">
        <f>'bieu 54'!E86</f>
        <v>3185.488</v>
      </c>
      <c r="F85" s="467">
        <v>0</v>
      </c>
      <c r="G85" s="467">
        <v>-1215.8801</v>
      </c>
      <c r="H85" s="468">
        <f>'bieu 54'!I86+'bieu 54'!N86</f>
        <v>1976.7599</v>
      </c>
      <c r="I85" s="467">
        <f t="shared" si="5"/>
        <v>0</v>
      </c>
      <c r="J85" s="467"/>
      <c r="K85" s="467"/>
      <c r="L85" s="533"/>
      <c r="M85" s="533"/>
      <c r="N85" s="549"/>
      <c r="O85" s="541"/>
      <c r="P85" s="350"/>
      <c r="Q85" s="159"/>
    </row>
    <row r="86" spans="1:17" s="49" customFormat="1" ht="27" customHeight="1">
      <c r="A86" s="157">
        <v>76</v>
      </c>
      <c r="B86" s="58" t="s">
        <v>726</v>
      </c>
      <c r="C86" s="542"/>
      <c r="D86" s="467">
        <f t="shared" si="4"/>
        <v>3382.6224</v>
      </c>
      <c r="E86" s="468">
        <f>'bieu 54'!E87</f>
        <v>0</v>
      </c>
      <c r="F86" s="469">
        <v>3614.9424000000004</v>
      </c>
      <c r="G86" s="467">
        <f>-215-17.32</f>
        <v>-232.32</v>
      </c>
      <c r="H86" s="468">
        <f>'bieu 54'!I87+'bieu 54'!N87</f>
        <v>3340.6424</v>
      </c>
      <c r="I86" s="467">
        <f t="shared" si="5"/>
        <v>41.98000000000002</v>
      </c>
      <c r="J86" s="467">
        <f>'bieu 54'!O87</f>
        <v>7.273</v>
      </c>
      <c r="K86" s="467">
        <v>34.707</v>
      </c>
      <c r="L86" s="533"/>
      <c r="M86" s="533"/>
      <c r="N86" s="549"/>
      <c r="O86" s="541"/>
      <c r="P86" s="350"/>
      <c r="Q86" s="159"/>
    </row>
    <row r="87" spans="1:17" s="49" customFormat="1" ht="27" customHeight="1">
      <c r="A87" s="157">
        <v>77</v>
      </c>
      <c r="B87" s="60" t="s">
        <v>330</v>
      </c>
      <c r="C87" s="532">
        <v>0</v>
      </c>
      <c r="D87" s="467">
        <f t="shared" si="4"/>
        <v>2922.189</v>
      </c>
      <c r="E87" s="468">
        <f>'bieu 54'!E88</f>
        <v>2602.475</v>
      </c>
      <c r="F87" s="469">
        <v>324.74400000000014</v>
      </c>
      <c r="G87" s="467">
        <v>-5.03</v>
      </c>
      <c r="H87" s="468">
        <f>'bieu 54'!I88+'bieu 54'!N88</f>
        <v>2922.189</v>
      </c>
      <c r="I87" s="467">
        <f t="shared" si="5"/>
        <v>0</v>
      </c>
      <c r="J87" s="467">
        <f>'bieu 54'!O88</f>
        <v>0</v>
      </c>
      <c r="K87" s="467"/>
      <c r="L87" s="533"/>
      <c r="M87" s="533"/>
      <c r="N87" s="549"/>
      <c r="O87" s="541"/>
      <c r="P87" s="350"/>
      <c r="Q87" s="159"/>
    </row>
    <row r="88" spans="1:17" s="49" customFormat="1" ht="27" customHeight="1">
      <c r="A88" s="157">
        <v>78</v>
      </c>
      <c r="B88" s="60" t="s">
        <v>331</v>
      </c>
      <c r="C88" s="532">
        <v>0</v>
      </c>
      <c r="D88" s="467">
        <f t="shared" si="4"/>
        <v>6514.262000000001</v>
      </c>
      <c r="E88" s="468">
        <f>'bieu 54'!E89</f>
        <v>5771.454</v>
      </c>
      <c r="F88" s="467">
        <v>742.8080000000004</v>
      </c>
      <c r="G88" s="467"/>
      <c r="H88" s="468">
        <f>'bieu 54'!I89+'bieu 54'!N89</f>
        <v>6501.885</v>
      </c>
      <c r="I88" s="467">
        <f t="shared" si="5"/>
        <v>12.377000000000407</v>
      </c>
      <c r="J88" s="467">
        <f>'bieu 54'!O89</f>
        <v>7.28</v>
      </c>
      <c r="K88" s="467">
        <v>5.097</v>
      </c>
      <c r="L88" s="533"/>
      <c r="M88" s="533"/>
      <c r="N88" s="549"/>
      <c r="O88" s="541"/>
      <c r="P88" s="350"/>
      <c r="Q88" s="159"/>
    </row>
    <row r="89" spans="1:17" s="49" customFormat="1" ht="27" customHeight="1">
      <c r="A89" s="157">
        <v>79</v>
      </c>
      <c r="B89" s="60" t="s">
        <v>332</v>
      </c>
      <c r="C89" s="532">
        <v>0</v>
      </c>
      <c r="D89" s="467">
        <f t="shared" si="4"/>
        <v>3316.432</v>
      </c>
      <c r="E89" s="468">
        <f>'bieu 54'!E90</f>
        <v>2744.825</v>
      </c>
      <c r="F89" s="467">
        <v>571.6070000000002</v>
      </c>
      <c r="G89" s="467"/>
      <c r="H89" s="468">
        <f>'bieu 54'!I90+'bieu 54'!N90</f>
        <v>3315.4175</v>
      </c>
      <c r="I89" s="467">
        <f t="shared" si="5"/>
        <v>1.0144999999997708</v>
      </c>
      <c r="J89" s="467">
        <f>'bieu 54'!O90</f>
        <v>0</v>
      </c>
      <c r="K89" s="467">
        <v>1.0145</v>
      </c>
      <c r="L89" s="533"/>
      <c r="M89" s="533"/>
      <c r="N89" s="549"/>
      <c r="O89" s="541"/>
      <c r="P89" s="350"/>
      <c r="Q89" s="159"/>
    </row>
    <row r="90" spans="1:17" s="49" customFormat="1" ht="27" customHeight="1">
      <c r="A90" s="157">
        <v>80</v>
      </c>
      <c r="B90" s="60" t="s">
        <v>293</v>
      </c>
      <c r="C90" s="532">
        <v>1</v>
      </c>
      <c r="D90" s="467">
        <f t="shared" si="4"/>
        <v>2629.0344999999998</v>
      </c>
      <c r="E90" s="468">
        <f>'bieu 54'!E91</f>
        <v>2427.135</v>
      </c>
      <c r="F90" s="467">
        <v>208.11799999999954</v>
      </c>
      <c r="G90" s="467">
        <f>-0.4585-5.76</f>
        <v>-6.2185</v>
      </c>
      <c r="H90" s="468">
        <f>'bieu 54'!I91+'bieu 54'!N91</f>
        <v>2627.1375</v>
      </c>
      <c r="I90" s="467">
        <f t="shared" si="5"/>
        <v>2.8969999999999345</v>
      </c>
      <c r="J90" s="467">
        <f>'bieu 54'!O91</f>
        <v>1.897</v>
      </c>
      <c r="K90" s="467">
        <v>1</v>
      </c>
      <c r="L90" s="533"/>
      <c r="M90" s="533"/>
      <c r="N90" s="549"/>
      <c r="O90" s="541"/>
      <c r="P90" s="350"/>
      <c r="Q90" s="159"/>
    </row>
    <row r="91" spans="1:17" s="49" customFormat="1" ht="27" customHeight="1">
      <c r="A91" s="157">
        <v>81</v>
      </c>
      <c r="B91" s="60" t="s">
        <v>485</v>
      </c>
      <c r="C91" s="532">
        <v>0.4635</v>
      </c>
      <c r="D91" s="467">
        <f t="shared" si="4"/>
        <v>6111.608</v>
      </c>
      <c r="E91" s="468">
        <f>'bieu 54'!E92</f>
        <v>5258.484</v>
      </c>
      <c r="F91" s="467">
        <v>860.6939999999995</v>
      </c>
      <c r="G91" s="467">
        <v>-7.57</v>
      </c>
      <c r="H91" s="468">
        <f>'bieu 54'!I92+'bieu 54'!N92</f>
        <v>6078.018</v>
      </c>
      <c r="I91" s="467">
        <f t="shared" si="5"/>
        <v>34.053499999999985</v>
      </c>
      <c r="J91" s="467">
        <f>'bieu 54'!O92</f>
        <v>0.05</v>
      </c>
      <c r="K91" s="467">
        <v>34.0035</v>
      </c>
      <c r="L91" s="533"/>
      <c r="M91" s="533"/>
      <c r="N91" s="549"/>
      <c r="O91" s="541"/>
      <c r="P91" s="350"/>
      <c r="Q91" s="159"/>
    </row>
    <row r="92" spans="1:17" s="49" customFormat="1" ht="27" customHeight="1">
      <c r="A92" s="157">
        <v>82</v>
      </c>
      <c r="B92" s="60" t="s">
        <v>333</v>
      </c>
      <c r="C92" s="532">
        <v>0</v>
      </c>
      <c r="D92" s="467">
        <f t="shared" si="4"/>
        <v>5261.691500000001</v>
      </c>
      <c r="E92" s="468">
        <f>'bieu 54'!E93</f>
        <v>4619.245</v>
      </c>
      <c r="F92" s="467">
        <v>691.5360000000005</v>
      </c>
      <c r="G92" s="467">
        <f>-37.3595-11.73</f>
        <v>-49.0895</v>
      </c>
      <c r="H92" s="468">
        <f>'bieu 54'!I93+'bieu 54'!N93</f>
        <v>5261.5865</v>
      </c>
      <c r="I92" s="467">
        <f t="shared" si="5"/>
        <v>0.10500000000047294</v>
      </c>
      <c r="J92" s="467">
        <f>'bieu 54'!O93</f>
        <v>0</v>
      </c>
      <c r="K92" s="467">
        <v>0.105</v>
      </c>
      <c r="L92" s="533"/>
      <c r="M92" s="533"/>
      <c r="N92" s="549"/>
      <c r="O92" s="541"/>
      <c r="P92" s="350"/>
      <c r="Q92" s="159"/>
    </row>
    <row r="93" spans="1:17" s="49" customFormat="1" ht="27" customHeight="1">
      <c r="A93" s="157">
        <v>83</v>
      </c>
      <c r="B93" s="60" t="s">
        <v>486</v>
      </c>
      <c r="C93" s="532">
        <v>70.8891</v>
      </c>
      <c r="D93" s="467">
        <f t="shared" si="4"/>
        <v>8595.670999999998</v>
      </c>
      <c r="E93" s="468">
        <f>'bieu 54'!E94</f>
        <v>7578.827</v>
      </c>
      <c r="F93" s="467">
        <v>1116.8439999999991</v>
      </c>
      <c r="G93" s="467">
        <v>-100</v>
      </c>
      <c r="H93" s="468">
        <f>'bieu 54'!I94+'bieu 54'!N94</f>
        <v>8579.5785</v>
      </c>
      <c r="I93" s="467">
        <f t="shared" si="5"/>
        <v>86.98159999999916</v>
      </c>
      <c r="J93" s="467">
        <f>'bieu 54'!O94</f>
        <v>19.388</v>
      </c>
      <c r="K93" s="467">
        <v>67.5936</v>
      </c>
      <c r="L93" s="533"/>
      <c r="M93" s="533"/>
      <c r="N93" s="549"/>
      <c r="O93" s="541"/>
      <c r="P93" s="350"/>
      <c r="Q93" s="159"/>
    </row>
    <row r="94" spans="1:17" s="49" customFormat="1" ht="27" customHeight="1">
      <c r="A94" s="157">
        <v>84</v>
      </c>
      <c r="B94" s="60" t="s">
        <v>498</v>
      </c>
      <c r="C94" s="532">
        <v>0</v>
      </c>
      <c r="D94" s="467">
        <f t="shared" si="4"/>
        <v>5326.2264</v>
      </c>
      <c r="E94" s="468">
        <f>'bieu 54'!E95</f>
        <v>4669.61</v>
      </c>
      <c r="F94" s="467">
        <v>682.0445000000002</v>
      </c>
      <c r="G94" s="467">
        <f>-20.4581-4.97</f>
        <v>-25.4281</v>
      </c>
      <c r="H94" s="468">
        <f>'bieu 54'!I95+'bieu 54'!N95</f>
        <v>5324.9603</v>
      </c>
      <c r="I94" s="467">
        <f t="shared" si="5"/>
        <v>1.266099999999824</v>
      </c>
      <c r="J94" s="467">
        <f>'bieu 54'!O95</f>
        <v>0</v>
      </c>
      <c r="K94" s="467">
        <v>1.2661</v>
      </c>
      <c r="L94" s="533"/>
      <c r="M94" s="533"/>
      <c r="N94" s="549"/>
      <c r="O94" s="541"/>
      <c r="P94" s="350"/>
      <c r="Q94" s="159"/>
    </row>
    <row r="95" spans="1:17" s="49" customFormat="1" ht="27" customHeight="1">
      <c r="A95" s="157">
        <v>85</v>
      </c>
      <c r="B95" s="60" t="s">
        <v>623</v>
      </c>
      <c r="C95" s="532">
        <v>0</v>
      </c>
      <c r="D95" s="467">
        <f t="shared" si="4"/>
        <v>3400.414</v>
      </c>
      <c r="E95" s="468">
        <f>'bieu 54'!E96</f>
        <v>2788.99</v>
      </c>
      <c r="F95" s="466">
        <v>620.0600000000004</v>
      </c>
      <c r="G95" s="467">
        <v>-8.636</v>
      </c>
      <c r="H95" s="468">
        <f>'bieu 54'!I96+'bieu 54'!N96</f>
        <v>3400.414</v>
      </c>
      <c r="I95" s="467">
        <f t="shared" si="5"/>
        <v>0</v>
      </c>
      <c r="J95" s="467">
        <f>'bieu 54'!O96</f>
        <v>0</v>
      </c>
      <c r="K95" s="467"/>
      <c r="L95" s="533"/>
      <c r="M95" s="533"/>
      <c r="N95" s="549"/>
      <c r="O95" s="541"/>
      <c r="P95" s="350"/>
      <c r="Q95" s="159"/>
    </row>
    <row r="96" spans="1:17" s="49" customFormat="1" ht="27" customHeight="1">
      <c r="A96" s="157">
        <v>86</v>
      </c>
      <c r="B96" s="60" t="s">
        <v>463</v>
      </c>
      <c r="C96" s="466"/>
      <c r="D96" s="467">
        <f t="shared" si="4"/>
        <v>3075.288</v>
      </c>
      <c r="E96" s="468">
        <f>'bieu 54'!E97</f>
        <v>1767.82</v>
      </c>
      <c r="F96" s="467">
        <v>1307.468</v>
      </c>
      <c r="G96" s="467"/>
      <c r="H96" s="468">
        <f>'bieu 54'!I97+'bieu 54'!N97</f>
        <v>3075.288</v>
      </c>
      <c r="I96" s="467">
        <f>C96+D96-H96</f>
        <v>0</v>
      </c>
      <c r="J96" s="467">
        <f>'bieu 54'!O97</f>
        <v>0</v>
      </c>
      <c r="K96" s="467"/>
      <c r="L96" s="533"/>
      <c r="M96" s="533"/>
      <c r="N96" s="549"/>
      <c r="O96" s="541"/>
      <c r="P96" s="350"/>
      <c r="Q96" s="159"/>
    </row>
    <row r="97" spans="1:17" s="49" customFormat="1" ht="27" customHeight="1">
      <c r="A97" s="157">
        <v>87</v>
      </c>
      <c r="B97" s="60" t="s">
        <v>428</v>
      </c>
      <c r="C97" s="466"/>
      <c r="D97" s="467">
        <f t="shared" si="4"/>
        <v>2512.8</v>
      </c>
      <c r="E97" s="468">
        <f>'bieu 54'!E98</f>
        <v>1021.48</v>
      </c>
      <c r="F97" s="467">
        <v>1491.3200000000002</v>
      </c>
      <c r="G97" s="467"/>
      <c r="H97" s="468">
        <f>'bieu 54'!I98+'bieu 54'!N98</f>
        <v>2512.8</v>
      </c>
      <c r="I97" s="467">
        <f t="shared" si="5"/>
        <v>0</v>
      </c>
      <c r="J97" s="467">
        <f>'bieu 54'!O98</f>
        <v>0</v>
      </c>
      <c r="K97" s="467"/>
      <c r="L97" s="533"/>
      <c r="M97" s="533"/>
      <c r="N97" s="549"/>
      <c r="O97" s="541"/>
      <c r="P97" s="350"/>
      <c r="Q97" s="159"/>
    </row>
    <row r="98" spans="1:17" s="49" customFormat="1" ht="27" customHeight="1">
      <c r="A98" s="157">
        <v>88</v>
      </c>
      <c r="B98" s="60" t="s">
        <v>429</v>
      </c>
      <c r="C98" s="466"/>
      <c r="D98" s="467">
        <f t="shared" si="4"/>
        <v>716.19</v>
      </c>
      <c r="E98" s="468">
        <f>'bieu 54'!E99</f>
        <v>0</v>
      </c>
      <c r="F98" s="467">
        <v>716.19</v>
      </c>
      <c r="G98" s="467"/>
      <c r="H98" s="468">
        <f>'bieu 54'!I99+'bieu 54'!N99</f>
        <v>716.19</v>
      </c>
      <c r="I98" s="467">
        <f t="shared" si="5"/>
        <v>0</v>
      </c>
      <c r="J98" s="467">
        <f>'bieu 54'!O99</f>
        <v>0</v>
      </c>
      <c r="K98" s="467"/>
      <c r="L98" s="533"/>
      <c r="M98" s="533"/>
      <c r="N98" s="549"/>
      <c r="O98" s="541"/>
      <c r="P98" s="350"/>
      <c r="Q98" s="159"/>
    </row>
    <row r="99" spans="1:17" s="49" customFormat="1" ht="27" customHeight="1">
      <c r="A99" s="157">
        <v>89</v>
      </c>
      <c r="B99" s="60" t="s">
        <v>430</v>
      </c>
      <c r="C99" s="466"/>
      <c r="D99" s="467">
        <f t="shared" si="4"/>
        <v>34738.42</v>
      </c>
      <c r="E99" s="468">
        <f>'bieu 54'!E100+20501.59</f>
        <v>34738.42</v>
      </c>
      <c r="F99" s="467"/>
      <c r="G99" s="467"/>
      <c r="H99" s="468">
        <f>'bieu 54'!I100+'bieu 54'!N100</f>
        <v>0</v>
      </c>
      <c r="I99" s="467"/>
      <c r="J99" s="467">
        <f>'bieu 54'!O100</f>
        <v>0</v>
      </c>
      <c r="K99" s="467"/>
      <c r="L99" s="533"/>
      <c r="M99" s="533"/>
      <c r="N99" s="549"/>
      <c r="O99" s="541"/>
      <c r="P99" s="350"/>
      <c r="Q99" s="159"/>
    </row>
    <row r="100" spans="1:17" s="1" customFormat="1" ht="27" customHeight="1">
      <c r="A100" s="157">
        <v>90</v>
      </c>
      <c r="B100" s="57" t="s">
        <v>431</v>
      </c>
      <c r="C100" s="466"/>
      <c r="D100" s="467">
        <f t="shared" si="4"/>
        <v>0</v>
      </c>
      <c r="E100" s="468">
        <f>'bieu 54'!E101</f>
        <v>0</v>
      </c>
      <c r="F100" s="467"/>
      <c r="G100" s="467"/>
      <c r="H100" s="468">
        <f>'bieu 54'!I101+'bieu 54'!N101</f>
        <v>0</v>
      </c>
      <c r="I100" s="467"/>
      <c r="J100" s="467">
        <f>'bieu 54'!O101</f>
        <v>0</v>
      </c>
      <c r="K100" s="467"/>
      <c r="L100" s="533"/>
      <c r="M100" s="533"/>
      <c r="N100" s="549"/>
      <c r="O100" s="541"/>
      <c r="P100" s="350"/>
      <c r="Q100" s="159"/>
    </row>
    <row r="101" spans="1:17" s="1" customFormat="1" ht="27" customHeight="1">
      <c r="A101" s="157">
        <v>91</v>
      </c>
      <c r="B101" s="223" t="s">
        <v>464</v>
      </c>
      <c r="C101" s="471"/>
      <c r="D101" s="467">
        <f t="shared" si="4"/>
        <v>0</v>
      </c>
      <c r="E101" s="468">
        <f>'bieu 54'!E102</f>
        <v>0</v>
      </c>
      <c r="F101" s="472"/>
      <c r="G101" s="472"/>
      <c r="H101" s="468">
        <f>'bieu 54'!I102+'bieu 54'!N102</f>
        <v>0</v>
      </c>
      <c r="I101" s="467"/>
      <c r="J101" s="467">
        <f>'bieu 54'!O102</f>
        <v>0</v>
      </c>
      <c r="K101" s="470"/>
      <c r="L101" s="533"/>
      <c r="M101" s="533"/>
      <c r="N101" s="549"/>
      <c r="O101" s="541"/>
      <c r="P101" s="350"/>
      <c r="Q101" s="159"/>
    </row>
    <row r="102" spans="1:17" s="1" customFormat="1" ht="27" customHeight="1">
      <c r="A102" s="157">
        <v>92</v>
      </c>
      <c r="B102" s="223" t="s">
        <v>84</v>
      </c>
      <c r="C102" s="473"/>
      <c r="D102" s="467">
        <f t="shared" si="4"/>
        <v>0</v>
      </c>
      <c r="E102" s="468">
        <f>'bieu 54'!E103</f>
        <v>0</v>
      </c>
      <c r="F102" s="472"/>
      <c r="G102" s="472"/>
      <c r="H102" s="468">
        <f>'bieu 54'!I103+'bieu 54'!N103</f>
        <v>0</v>
      </c>
      <c r="I102" s="467"/>
      <c r="J102" s="467">
        <f>'bieu 54'!O103</f>
        <v>0</v>
      </c>
      <c r="K102" s="466"/>
      <c r="L102" s="533"/>
      <c r="M102" s="533"/>
      <c r="N102" s="549"/>
      <c r="O102" s="541"/>
      <c r="P102" s="350"/>
      <c r="Q102" s="159"/>
    </row>
    <row r="103" spans="1:17" s="1" customFormat="1" ht="27" customHeight="1">
      <c r="A103" s="157">
        <v>93</v>
      </c>
      <c r="B103" s="223" t="s">
        <v>432</v>
      </c>
      <c r="C103" s="473"/>
      <c r="D103" s="467">
        <f t="shared" si="4"/>
        <v>0</v>
      </c>
      <c r="E103" s="468">
        <f>'bieu 54'!E104</f>
        <v>0</v>
      </c>
      <c r="F103" s="472"/>
      <c r="G103" s="472"/>
      <c r="H103" s="468">
        <f>'bieu 54'!I104+'bieu 54'!N104</f>
        <v>0</v>
      </c>
      <c r="I103" s="467">
        <f>J103+K103</f>
        <v>23132.290091</v>
      </c>
      <c r="J103" s="467">
        <f>'bieu 54'!O104</f>
        <v>23132.290091</v>
      </c>
      <c r="K103" s="466"/>
      <c r="L103" s="533"/>
      <c r="M103" s="533"/>
      <c r="N103" s="549"/>
      <c r="O103" s="541"/>
      <c r="P103" s="350"/>
      <c r="Q103" s="159"/>
    </row>
    <row r="104" spans="1:17" s="1" customFormat="1" ht="27" customHeight="1">
      <c r="A104" s="157">
        <v>94</v>
      </c>
      <c r="B104" s="223" t="s">
        <v>337</v>
      </c>
      <c r="C104" s="473"/>
      <c r="D104" s="467">
        <f t="shared" si="4"/>
        <v>0</v>
      </c>
      <c r="E104" s="468">
        <f>'bieu 54'!E105</f>
        <v>0</v>
      </c>
      <c r="F104" s="472"/>
      <c r="G104" s="472"/>
      <c r="H104" s="468">
        <f>'bieu 54'!I105+'bieu 54'!N105</f>
        <v>0</v>
      </c>
      <c r="I104" s="467"/>
      <c r="J104" s="467">
        <f>'bieu 54'!O105</f>
        <v>0</v>
      </c>
      <c r="K104" s="466"/>
      <c r="L104" s="533"/>
      <c r="M104" s="533"/>
      <c r="N104" s="549"/>
      <c r="O104" s="541"/>
      <c r="P104" s="350"/>
      <c r="Q104" s="159"/>
    </row>
    <row r="105" spans="1:17" s="1" customFormat="1" ht="27" customHeight="1">
      <c r="A105" s="157">
        <v>95</v>
      </c>
      <c r="B105" s="223" t="s">
        <v>533</v>
      </c>
      <c r="C105" s="473"/>
      <c r="D105" s="467">
        <f t="shared" si="4"/>
        <v>0</v>
      </c>
      <c r="E105" s="468">
        <f>'bieu 54'!E106</f>
        <v>0</v>
      </c>
      <c r="F105" s="472"/>
      <c r="G105" s="472"/>
      <c r="H105" s="468">
        <f>'bieu 54'!I106+'bieu 54'!N106</f>
        <v>0</v>
      </c>
      <c r="I105" s="467"/>
      <c r="J105" s="467">
        <f>'bieu 54'!O106</f>
        <v>0</v>
      </c>
      <c r="K105" s="466"/>
      <c r="L105" s="533"/>
      <c r="M105" s="533"/>
      <c r="N105" s="549"/>
      <c r="O105" s="541"/>
      <c r="P105" s="350"/>
      <c r="Q105" s="159"/>
    </row>
    <row r="106" spans="1:17" s="1" customFormat="1" ht="27" customHeight="1">
      <c r="A106" s="157">
        <v>96</v>
      </c>
      <c r="B106" s="223" t="s">
        <v>586</v>
      </c>
      <c r="C106" s="473"/>
      <c r="D106" s="467">
        <f>E106+F106+G106</f>
        <v>0</v>
      </c>
      <c r="E106" s="468">
        <f>'bieu 54'!E107</f>
        <v>0</v>
      </c>
      <c r="F106" s="472"/>
      <c r="G106" s="472"/>
      <c r="H106" s="468">
        <f>'bieu 54'!I107+'bieu 54'!N107</f>
        <v>1871.801</v>
      </c>
      <c r="I106" s="467"/>
      <c r="J106" s="467">
        <f>'bieu 54'!O107</f>
        <v>0</v>
      </c>
      <c r="K106" s="466"/>
      <c r="L106" s="533"/>
      <c r="M106" s="533"/>
      <c r="N106" s="549"/>
      <c r="O106" s="541"/>
      <c r="P106" s="350"/>
      <c r="Q106" s="159"/>
    </row>
    <row r="107" spans="1:17" s="1" customFormat="1" ht="27" customHeight="1">
      <c r="A107" s="157">
        <v>97</v>
      </c>
      <c r="B107" s="223" t="s">
        <v>534</v>
      </c>
      <c r="C107" s="473"/>
      <c r="D107" s="467">
        <f t="shared" si="4"/>
        <v>0</v>
      </c>
      <c r="E107" s="468">
        <f>'bieu 54'!E108</f>
        <v>0</v>
      </c>
      <c r="F107" s="470"/>
      <c r="G107" s="470"/>
      <c r="H107" s="468"/>
      <c r="I107" s="467">
        <f>C107+D107-H107</f>
        <v>0</v>
      </c>
      <c r="J107" s="467">
        <f>'bieu 54'!O108</f>
        <v>0</v>
      </c>
      <c r="K107" s="466"/>
      <c r="L107" s="533"/>
      <c r="M107" s="533"/>
      <c r="N107" s="549"/>
      <c r="O107" s="541"/>
      <c r="P107" s="350"/>
      <c r="Q107" s="159"/>
    </row>
    <row r="108" spans="1:17" s="6" customFormat="1" ht="27" customHeight="1">
      <c r="A108" s="338" t="s">
        <v>40</v>
      </c>
      <c r="B108" s="349" t="s">
        <v>420</v>
      </c>
      <c r="C108" s="659">
        <f>SUM(C109:C126)</f>
        <v>8970.961007</v>
      </c>
      <c r="D108" s="659">
        <f aca="true" t="shared" si="6" ref="D108:K108">SUM(D109:D126)</f>
        <v>138085.16400000002</v>
      </c>
      <c r="E108" s="659">
        <f>SUM(E109:E126)</f>
        <v>84444.15</v>
      </c>
      <c r="F108" s="660">
        <f t="shared" si="6"/>
        <v>53641.014</v>
      </c>
      <c r="G108" s="660">
        <f t="shared" si="6"/>
        <v>0</v>
      </c>
      <c r="H108" s="661">
        <f>SUM(H109:H126)</f>
        <v>119361.27640600002</v>
      </c>
      <c r="I108" s="662">
        <f t="shared" si="6"/>
        <v>33845.01657</v>
      </c>
      <c r="J108" s="661">
        <f t="shared" si="6"/>
        <v>33743.291033</v>
      </c>
      <c r="K108" s="662">
        <f t="shared" si="6"/>
        <v>101.725537</v>
      </c>
      <c r="L108" s="533"/>
      <c r="M108" s="533"/>
      <c r="N108" s="549"/>
      <c r="O108" s="541"/>
      <c r="P108" s="350"/>
      <c r="Q108" s="159"/>
    </row>
    <row r="109" spans="1:17" s="6" customFormat="1" ht="27" customHeight="1">
      <c r="A109" s="122">
        <v>1</v>
      </c>
      <c r="B109" s="223" t="s">
        <v>270</v>
      </c>
      <c r="C109" s="663">
        <v>810.662283</v>
      </c>
      <c r="D109" s="664">
        <f>E109+F109-G109</f>
        <v>5859.157</v>
      </c>
      <c r="E109" s="665">
        <v>5562.81</v>
      </c>
      <c r="F109" s="666">
        <v>296.347</v>
      </c>
      <c r="G109" s="666"/>
      <c r="H109" s="664">
        <f>'bieu 54'!I110+'bieu 54'!J110+'bieu 54'!N110</f>
        <v>6254.96889</v>
      </c>
      <c r="I109" s="468">
        <f>J109+K109</f>
        <v>707.660536</v>
      </c>
      <c r="J109" s="667">
        <f>'bieu 54'!O110</f>
        <v>706.680434</v>
      </c>
      <c r="K109" s="668">
        <v>0.980102</v>
      </c>
      <c r="L109" s="533"/>
      <c r="M109" s="533"/>
      <c r="N109" s="549"/>
      <c r="O109" s="541"/>
      <c r="P109" s="350"/>
      <c r="Q109" s="159"/>
    </row>
    <row r="110" spans="1:17" s="6" customFormat="1" ht="27" customHeight="1">
      <c r="A110" s="122">
        <v>2</v>
      </c>
      <c r="B110" s="223" t="s">
        <v>271</v>
      </c>
      <c r="C110" s="663">
        <v>198.039813</v>
      </c>
      <c r="D110" s="664">
        <f aca="true" t="shared" si="7" ref="D110:D126">E110+F110-G110</f>
        <v>7325.956</v>
      </c>
      <c r="E110" s="665">
        <v>5446.26</v>
      </c>
      <c r="F110" s="666">
        <v>1879.696</v>
      </c>
      <c r="G110" s="666"/>
      <c r="H110" s="664">
        <f>'bieu 54'!I111+'bieu 54'!J111+'bieu 54'!N111</f>
        <v>6696.743503</v>
      </c>
      <c r="I110" s="467">
        <f aca="true" t="shared" si="8" ref="I110:I126">J110+K110</f>
        <v>1566.259123</v>
      </c>
      <c r="J110" s="667">
        <f>'bieu 54'!O111</f>
        <v>1556.668423</v>
      </c>
      <c r="K110" s="668">
        <v>9.5907</v>
      </c>
      <c r="L110" s="533"/>
      <c r="M110" s="533"/>
      <c r="N110" s="549"/>
      <c r="O110" s="541"/>
      <c r="P110" s="350"/>
      <c r="Q110" s="159"/>
    </row>
    <row r="111" spans="1:17" s="6" customFormat="1" ht="27" customHeight="1">
      <c r="A111" s="122">
        <v>3</v>
      </c>
      <c r="B111" s="223" t="s">
        <v>9</v>
      </c>
      <c r="C111" s="663">
        <v>548.440608</v>
      </c>
      <c r="D111" s="664">
        <f t="shared" si="7"/>
        <v>6590.674</v>
      </c>
      <c r="E111" s="665">
        <v>5150.49</v>
      </c>
      <c r="F111" s="666">
        <v>1440.184</v>
      </c>
      <c r="G111" s="666"/>
      <c r="H111" s="664">
        <f>'bieu 54'!I112+'bieu 54'!J112+'bieu 54'!N112</f>
        <v>6880.687535</v>
      </c>
      <c r="I111" s="467">
        <f t="shared" si="8"/>
        <v>371.59738200000004</v>
      </c>
      <c r="J111" s="667">
        <f>'bieu 54'!O112</f>
        <v>370.667496</v>
      </c>
      <c r="K111" s="668">
        <v>0.929886</v>
      </c>
      <c r="L111" s="533"/>
      <c r="M111" s="533"/>
      <c r="N111" s="549"/>
      <c r="O111" s="541"/>
      <c r="P111" s="350"/>
      <c r="Q111" s="159"/>
    </row>
    <row r="112" spans="1:17" s="6" customFormat="1" ht="27" customHeight="1">
      <c r="A112" s="122">
        <v>4</v>
      </c>
      <c r="B112" s="223" t="s">
        <v>272</v>
      </c>
      <c r="C112" s="663">
        <v>137.731702</v>
      </c>
      <c r="D112" s="664">
        <f t="shared" si="7"/>
        <v>5484.578</v>
      </c>
      <c r="E112" s="665">
        <v>5125.6</v>
      </c>
      <c r="F112" s="666">
        <v>358.978</v>
      </c>
      <c r="G112" s="666"/>
      <c r="H112" s="664">
        <f>'bieu 54'!I113+'bieu 54'!J113+'bieu 54'!N113</f>
        <v>5754.873421</v>
      </c>
      <c r="I112" s="467">
        <f t="shared" si="8"/>
        <v>109.78368200000001</v>
      </c>
      <c r="J112" s="667">
        <f>'bieu 54'!O113</f>
        <v>109.783482</v>
      </c>
      <c r="K112" s="668">
        <v>0.0002</v>
      </c>
      <c r="L112" s="533"/>
      <c r="M112" s="533"/>
      <c r="N112" s="549"/>
      <c r="O112" s="541"/>
      <c r="P112" s="350"/>
      <c r="Q112" s="159"/>
    </row>
    <row r="113" spans="1:17" s="6" customFormat="1" ht="27" customHeight="1">
      <c r="A113" s="122">
        <v>5</v>
      </c>
      <c r="B113" s="223" t="s">
        <v>273</v>
      </c>
      <c r="C113" s="663">
        <v>1141.34942</v>
      </c>
      <c r="D113" s="664">
        <f t="shared" si="7"/>
        <v>14588.613</v>
      </c>
      <c r="E113" s="665">
        <v>6338.48</v>
      </c>
      <c r="F113" s="666">
        <v>8250.133</v>
      </c>
      <c r="G113" s="666"/>
      <c r="H113" s="664">
        <f>'bieu 54'!I114+'bieu 54'!J114+'bieu 54'!N114</f>
        <v>11711.188124</v>
      </c>
      <c r="I113" s="467">
        <f t="shared" si="8"/>
        <v>6732.902633</v>
      </c>
      <c r="J113" s="667">
        <f>'bieu 54'!O114</f>
        <v>6720.115615</v>
      </c>
      <c r="K113" s="668">
        <v>12.787018</v>
      </c>
      <c r="L113" s="533"/>
      <c r="M113" s="533"/>
      <c r="N113" s="549"/>
      <c r="O113" s="541"/>
      <c r="P113" s="350"/>
      <c r="Q113" s="159"/>
    </row>
    <row r="114" spans="1:17" s="6" customFormat="1" ht="27" customHeight="1">
      <c r="A114" s="122">
        <v>6</v>
      </c>
      <c r="B114" s="223" t="s">
        <v>274</v>
      </c>
      <c r="C114" s="663">
        <v>480.112162</v>
      </c>
      <c r="D114" s="664">
        <f t="shared" si="7"/>
        <v>5782.358</v>
      </c>
      <c r="E114" s="665">
        <v>4606.64</v>
      </c>
      <c r="F114" s="666">
        <v>1175.718</v>
      </c>
      <c r="G114" s="666"/>
      <c r="H114" s="664">
        <f>'bieu 54'!I115+'bieu 54'!J115+'bieu 54'!N115</f>
        <v>5381.113815</v>
      </c>
      <c r="I114" s="467">
        <f t="shared" si="8"/>
        <v>531.59447</v>
      </c>
      <c r="J114" s="667">
        <f>'bieu 54'!O115</f>
        <v>524.291805</v>
      </c>
      <c r="K114" s="668">
        <v>7.302665</v>
      </c>
      <c r="L114" s="533"/>
      <c r="M114" s="533"/>
      <c r="N114" s="549"/>
      <c r="O114" s="541"/>
      <c r="P114" s="350"/>
      <c r="Q114" s="159"/>
    </row>
    <row r="115" spans="1:17" s="6" customFormat="1" ht="27" customHeight="1">
      <c r="A115" s="122">
        <v>7</v>
      </c>
      <c r="B115" s="223" t="s">
        <v>275</v>
      </c>
      <c r="C115" s="663">
        <v>263.784543</v>
      </c>
      <c r="D115" s="664">
        <f t="shared" si="7"/>
        <v>4559.782999999999</v>
      </c>
      <c r="E115" s="665">
        <v>3630.93</v>
      </c>
      <c r="F115" s="666">
        <v>928.853</v>
      </c>
      <c r="G115" s="666"/>
      <c r="H115" s="664">
        <f>'bieu 54'!I116+'bieu 54'!J116+'bieu 54'!N116</f>
        <v>4179.564496</v>
      </c>
      <c r="I115" s="467">
        <f t="shared" si="8"/>
        <v>291.899229</v>
      </c>
      <c r="J115" s="667">
        <f>'bieu 54'!O116</f>
        <v>284.95613</v>
      </c>
      <c r="K115" s="668">
        <v>6.943099</v>
      </c>
      <c r="L115" s="533"/>
      <c r="M115" s="533"/>
      <c r="N115" s="549"/>
      <c r="O115" s="541"/>
      <c r="P115" s="350"/>
      <c r="Q115" s="159"/>
    </row>
    <row r="116" spans="1:17" s="6" customFormat="1" ht="27" customHeight="1">
      <c r="A116" s="122">
        <v>8</v>
      </c>
      <c r="B116" s="223" t="s">
        <v>276</v>
      </c>
      <c r="C116" s="663">
        <v>755.037659</v>
      </c>
      <c r="D116" s="664">
        <f t="shared" si="7"/>
        <v>5132.025</v>
      </c>
      <c r="E116" s="665">
        <v>3838.93</v>
      </c>
      <c r="F116" s="666">
        <v>1293.095</v>
      </c>
      <c r="G116" s="666"/>
      <c r="H116" s="664">
        <f>'bieu 54'!I117+'bieu 54'!J117+'bieu 54'!N117</f>
        <v>5030.59602</v>
      </c>
      <c r="I116" s="467">
        <f t="shared" si="8"/>
        <v>455.36666499999995</v>
      </c>
      <c r="J116" s="667">
        <f>'bieu 54'!O117</f>
        <v>454.899978</v>
      </c>
      <c r="K116" s="668">
        <v>0.466687</v>
      </c>
      <c r="L116" s="533"/>
      <c r="M116" s="533"/>
      <c r="N116" s="549"/>
      <c r="O116" s="541"/>
      <c r="P116" s="350"/>
      <c r="Q116" s="159"/>
    </row>
    <row r="117" spans="1:17" s="6" customFormat="1" ht="27" customHeight="1">
      <c r="A117" s="122">
        <v>9</v>
      </c>
      <c r="B117" s="223" t="s">
        <v>277</v>
      </c>
      <c r="C117" s="663">
        <v>20.714</v>
      </c>
      <c r="D117" s="664">
        <f t="shared" si="7"/>
        <v>8964.7</v>
      </c>
      <c r="E117" s="665">
        <v>4246.31</v>
      </c>
      <c r="F117" s="666">
        <v>4718.39</v>
      </c>
      <c r="G117" s="666"/>
      <c r="H117" s="664">
        <f>'bieu 54'!I118+'bieu 54'!J118+'bieu 54'!N118</f>
        <v>6833.323139</v>
      </c>
      <c r="I117" s="467">
        <f t="shared" si="8"/>
        <v>1769.021004</v>
      </c>
      <c r="J117" s="667">
        <f>'bieu 54'!O118</f>
        <v>1769.021004</v>
      </c>
      <c r="K117" s="668">
        <v>0</v>
      </c>
      <c r="L117" s="533"/>
      <c r="M117" s="533"/>
      <c r="N117" s="549"/>
      <c r="O117" s="541"/>
      <c r="P117" s="350"/>
      <c r="Q117" s="159"/>
    </row>
    <row r="118" spans="1:17" s="6" customFormat="1" ht="27" customHeight="1">
      <c r="A118" s="122">
        <v>10</v>
      </c>
      <c r="B118" s="223" t="s">
        <v>278</v>
      </c>
      <c r="C118" s="663">
        <v>353.923236</v>
      </c>
      <c r="D118" s="664">
        <f t="shared" si="7"/>
        <v>7913.818</v>
      </c>
      <c r="E118" s="665">
        <v>4381.59</v>
      </c>
      <c r="F118" s="666">
        <v>3532.228</v>
      </c>
      <c r="G118" s="666"/>
      <c r="H118" s="664">
        <f>'bieu 54'!I119+'bieu 54'!J119+'bieu 54'!N119</f>
        <v>7486.8378410000005</v>
      </c>
      <c r="I118" s="467">
        <f t="shared" si="8"/>
        <v>663.904601</v>
      </c>
      <c r="J118" s="667">
        <f>'bieu 54'!O119</f>
        <v>655.777601</v>
      </c>
      <c r="K118" s="668">
        <v>8.127</v>
      </c>
      <c r="L118" s="533"/>
      <c r="M118" s="533"/>
      <c r="N118" s="549"/>
      <c r="O118" s="541"/>
      <c r="P118" s="350"/>
      <c r="Q118" s="159"/>
    </row>
    <row r="119" spans="1:17" s="6" customFormat="1" ht="27" customHeight="1">
      <c r="A119" s="122">
        <v>11</v>
      </c>
      <c r="B119" s="223" t="s">
        <v>279</v>
      </c>
      <c r="C119" s="663">
        <v>323.9028</v>
      </c>
      <c r="D119" s="664">
        <f t="shared" si="7"/>
        <v>5168.02</v>
      </c>
      <c r="E119" s="665">
        <v>3851.55</v>
      </c>
      <c r="F119" s="666">
        <v>1316.47</v>
      </c>
      <c r="G119" s="666"/>
      <c r="H119" s="664">
        <f>'bieu 54'!I120+'bieu 54'!J120+'bieu 54'!N120</f>
        <v>4703.882192</v>
      </c>
      <c r="I119" s="467">
        <f t="shared" si="8"/>
        <v>427.037222</v>
      </c>
      <c r="J119" s="667">
        <f>'bieu 54'!O120</f>
        <v>413.763422</v>
      </c>
      <c r="K119" s="668">
        <v>13.2738</v>
      </c>
      <c r="L119" s="533"/>
      <c r="M119" s="533"/>
      <c r="N119" s="549"/>
      <c r="O119" s="541"/>
      <c r="P119" s="350"/>
      <c r="Q119" s="159"/>
    </row>
    <row r="120" spans="1:17" s="6" customFormat="1" ht="27" customHeight="1">
      <c r="A120" s="122">
        <v>12</v>
      </c>
      <c r="B120" s="223" t="s">
        <v>280</v>
      </c>
      <c r="C120" s="663">
        <v>238.083821</v>
      </c>
      <c r="D120" s="664">
        <f t="shared" si="7"/>
        <v>9294.861</v>
      </c>
      <c r="E120" s="665">
        <v>4295.81</v>
      </c>
      <c r="F120" s="666">
        <v>4999.051</v>
      </c>
      <c r="G120" s="666"/>
      <c r="H120" s="664">
        <f>'bieu 54'!I121+'bieu 54'!J121+'bieu 54'!N121</f>
        <v>6871.393425</v>
      </c>
      <c r="I120" s="467">
        <f t="shared" si="8"/>
        <v>4354.432129</v>
      </c>
      <c r="J120" s="667">
        <f>'bieu 54'!O121</f>
        <v>4354.104241</v>
      </c>
      <c r="K120" s="668">
        <v>0.327888</v>
      </c>
      <c r="L120" s="533"/>
      <c r="M120" s="533"/>
      <c r="N120" s="549"/>
      <c r="O120" s="541"/>
      <c r="P120" s="350"/>
      <c r="Q120" s="159"/>
    </row>
    <row r="121" spans="1:17" s="6" customFormat="1" ht="27" customHeight="1">
      <c r="A121" s="122">
        <v>13</v>
      </c>
      <c r="B121" s="223" t="s">
        <v>281</v>
      </c>
      <c r="C121" s="663">
        <v>622.8383</v>
      </c>
      <c r="D121" s="664">
        <f t="shared" si="7"/>
        <v>14266.36</v>
      </c>
      <c r="E121" s="665">
        <v>5497.62</v>
      </c>
      <c r="F121" s="666">
        <v>8768.74</v>
      </c>
      <c r="G121" s="666"/>
      <c r="H121" s="664">
        <f>'bieu 54'!I122+'bieu 54'!J122+'bieu 54'!N122</f>
        <v>9986.145631</v>
      </c>
      <c r="I121" s="467">
        <f t="shared" si="8"/>
        <v>7401.571862</v>
      </c>
      <c r="J121" s="667">
        <f>'bieu 54'!O122</f>
        <v>7400.560362</v>
      </c>
      <c r="K121" s="668">
        <v>1.0115</v>
      </c>
      <c r="L121" s="533"/>
      <c r="M121" s="533"/>
      <c r="N121" s="549"/>
      <c r="O121" s="541"/>
      <c r="P121" s="350"/>
      <c r="Q121" s="159"/>
    </row>
    <row r="122" spans="1:17" s="6" customFormat="1" ht="27" customHeight="1">
      <c r="A122" s="122">
        <v>14</v>
      </c>
      <c r="B122" s="223" t="s">
        <v>282</v>
      </c>
      <c r="C122" s="663">
        <v>522.284668</v>
      </c>
      <c r="D122" s="664">
        <f t="shared" si="7"/>
        <v>5907.979</v>
      </c>
      <c r="E122" s="665">
        <v>4323.31</v>
      </c>
      <c r="F122" s="666">
        <v>1584.669</v>
      </c>
      <c r="G122" s="666"/>
      <c r="H122" s="664">
        <f>'bieu 54'!I123+'bieu 54'!J123+'bieu 54'!N123</f>
        <v>5262.601158</v>
      </c>
      <c r="I122" s="467">
        <f t="shared" si="8"/>
        <v>1496.5314660000001</v>
      </c>
      <c r="J122" s="667">
        <f>'bieu 54'!O123</f>
        <v>1474.386666</v>
      </c>
      <c r="K122" s="668">
        <v>22.1448</v>
      </c>
      <c r="L122" s="533"/>
      <c r="M122" s="533"/>
      <c r="N122" s="549"/>
      <c r="O122" s="541"/>
      <c r="P122" s="350"/>
      <c r="Q122" s="159"/>
    </row>
    <row r="123" spans="1:17" s="6" customFormat="1" ht="27" customHeight="1">
      <c r="A123" s="122">
        <v>15</v>
      </c>
      <c r="B123" s="223" t="s">
        <v>283</v>
      </c>
      <c r="C123" s="663">
        <v>420.78036</v>
      </c>
      <c r="D123" s="664">
        <f t="shared" si="7"/>
        <v>6269.562</v>
      </c>
      <c r="E123" s="665">
        <v>4465.78</v>
      </c>
      <c r="F123" s="666">
        <v>1803.782</v>
      </c>
      <c r="G123" s="666"/>
      <c r="H123" s="664">
        <f>'bieu 54'!I124+'bieu 54'!J124+'bieu 54'!N124</f>
        <v>5099.7321569999995</v>
      </c>
      <c r="I123" s="467">
        <f t="shared" si="8"/>
        <v>854.938372</v>
      </c>
      <c r="J123" s="667">
        <f>'bieu 54'!O124</f>
        <v>854.621173</v>
      </c>
      <c r="K123" s="668">
        <v>0.317199</v>
      </c>
      <c r="L123" s="533"/>
      <c r="M123" s="533"/>
      <c r="N123" s="549"/>
      <c r="O123" s="541"/>
      <c r="P123" s="350"/>
      <c r="Q123" s="159"/>
    </row>
    <row r="124" spans="1:17" s="6" customFormat="1" ht="27" customHeight="1">
      <c r="A124" s="122">
        <v>16</v>
      </c>
      <c r="B124" s="223" t="s">
        <v>284</v>
      </c>
      <c r="C124" s="663">
        <v>597.225225</v>
      </c>
      <c r="D124" s="664">
        <f t="shared" si="7"/>
        <v>8204.43</v>
      </c>
      <c r="E124" s="665">
        <v>4478.9</v>
      </c>
      <c r="F124" s="666">
        <v>3725.53</v>
      </c>
      <c r="G124" s="666"/>
      <c r="H124" s="664">
        <f>'bieu 54'!I125+'bieu 54'!J125+'bieu 54'!N125</f>
        <v>7354.78996</v>
      </c>
      <c r="I124" s="467">
        <f t="shared" si="8"/>
        <v>1810.288583</v>
      </c>
      <c r="J124" s="667">
        <f>'bieu 54'!O125</f>
        <v>1810.088389</v>
      </c>
      <c r="K124" s="668">
        <v>0.200194</v>
      </c>
      <c r="L124" s="533"/>
      <c r="M124" s="533"/>
      <c r="N124" s="549"/>
      <c r="O124" s="541"/>
      <c r="P124" s="350"/>
      <c r="Q124" s="159"/>
    </row>
    <row r="125" spans="1:17" s="6" customFormat="1" ht="27" customHeight="1">
      <c r="A125" s="122">
        <v>17</v>
      </c>
      <c r="B125" s="223" t="s">
        <v>285</v>
      </c>
      <c r="C125" s="669">
        <v>356.172955</v>
      </c>
      <c r="D125" s="664">
        <f t="shared" si="7"/>
        <v>11880.99</v>
      </c>
      <c r="E125" s="665">
        <v>5110.71</v>
      </c>
      <c r="F125" s="666">
        <v>6770.28</v>
      </c>
      <c r="G125" s="666"/>
      <c r="H125" s="664">
        <f>'bieu 54'!I126+'bieu 54'!J126+'bieu 54'!N126</f>
        <v>8779.313542</v>
      </c>
      <c r="I125" s="467">
        <f t="shared" si="8"/>
        <v>3773.744213</v>
      </c>
      <c r="J125" s="667">
        <f>'bieu 54'!O126</f>
        <v>3769.051214</v>
      </c>
      <c r="K125" s="670">
        <v>4.692999</v>
      </c>
      <c r="L125" s="533"/>
      <c r="M125" s="533"/>
      <c r="N125" s="549"/>
      <c r="O125" s="541"/>
      <c r="P125" s="350"/>
      <c r="Q125" s="159"/>
    </row>
    <row r="126" spans="1:17" s="6" customFormat="1" ht="27" customHeight="1">
      <c r="A126" s="474">
        <v>18</v>
      </c>
      <c r="B126" s="475" t="s">
        <v>286</v>
      </c>
      <c r="C126" s="671">
        <v>1179.877452</v>
      </c>
      <c r="D126" s="672">
        <f t="shared" si="7"/>
        <v>4891.3</v>
      </c>
      <c r="E126" s="672">
        <v>4092.43</v>
      </c>
      <c r="F126" s="673">
        <v>798.87</v>
      </c>
      <c r="G126" s="673"/>
      <c r="H126" s="672">
        <f>'bieu 54'!I127+'bieu 54'!J127+'bieu 54'!N127</f>
        <v>5093.521557</v>
      </c>
      <c r="I126" s="805">
        <f t="shared" si="8"/>
        <v>526.4833980000001</v>
      </c>
      <c r="J126" s="804">
        <f>'bieu 54'!O127</f>
        <v>513.853598</v>
      </c>
      <c r="K126" s="674">
        <v>12.6298</v>
      </c>
      <c r="L126" s="533"/>
      <c r="M126" s="533"/>
      <c r="N126" s="549"/>
      <c r="O126" s="541"/>
      <c r="P126" s="350"/>
      <c r="Q126" s="159"/>
    </row>
    <row r="127" spans="3:13" s="143" customFormat="1" ht="12.75">
      <c r="C127" s="142"/>
      <c r="L127" s="142"/>
      <c r="M127" s="142"/>
    </row>
    <row r="128" spans="3:13" s="143" customFormat="1" ht="12.75">
      <c r="C128" s="142"/>
      <c r="L128" s="142"/>
      <c r="M128" s="142"/>
    </row>
    <row r="129" spans="3:13" s="143" customFormat="1" ht="12.75">
      <c r="C129" s="142"/>
      <c r="L129" s="142"/>
      <c r="M129" s="142"/>
    </row>
    <row r="130" spans="1:12" ht="18">
      <c r="A130" s="143"/>
      <c r="B130" s="143"/>
      <c r="C130" s="142"/>
      <c r="D130" s="143"/>
      <c r="E130" s="143"/>
      <c r="F130" s="143"/>
      <c r="G130" s="143"/>
      <c r="H130" s="143"/>
      <c r="I130" s="143"/>
      <c r="J130" s="143"/>
      <c r="K130" s="143"/>
      <c r="L130" s="534"/>
    </row>
    <row r="131" ht="18">
      <c r="L131" s="534"/>
    </row>
    <row r="132" ht="18">
      <c r="L132" s="534"/>
    </row>
    <row r="133" ht="18">
      <c r="L133" s="534"/>
    </row>
    <row r="134" ht="18">
      <c r="L134" s="534"/>
    </row>
    <row r="135" ht="18">
      <c r="L135" s="534"/>
    </row>
  </sheetData>
  <sheetProtection/>
  <mergeCells count="12">
    <mergeCell ref="I6:I7"/>
    <mergeCell ref="J6:K6"/>
    <mergeCell ref="H1:K1"/>
    <mergeCell ref="H2:K2"/>
    <mergeCell ref="A6:A7"/>
    <mergeCell ref="B6:B7"/>
    <mergeCell ref="C6:C7"/>
    <mergeCell ref="A3:K3"/>
    <mergeCell ref="A4:K4"/>
    <mergeCell ref="H6:H7"/>
    <mergeCell ref="D6:D7"/>
    <mergeCell ref="E6:G6"/>
  </mergeCells>
  <printOptions horizontalCentered="1"/>
  <pageMargins left="0" right="0" top="0.984251968503937" bottom="0.7874015748031497"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X131"/>
  <sheetViews>
    <sheetView zoomScaleSheetLayoutView="70" zoomScalePageLayoutView="0" workbookViewId="0" topLeftCell="A1">
      <pane xSplit="2" ySplit="11" topLeftCell="C108" activePane="bottomRight" state="frozen"/>
      <selection pane="topLeft" activeCell="A1" sqref="A1"/>
      <selection pane="topRight" activeCell="C1" sqref="C1"/>
      <selection pane="bottomLeft" activeCell="A12" sqref="A12"/>
      <selection pane="bottomRight" activeCell="A4" sqref="A4:V4"/>
    </sheetView>
  </sheetViews>
  <sheetFormatPr defaultColWidth="9.140625" defaultRowHeight="12.75"/>
  <cols>
    <col min="1" max="1" width="4.8515625" style="38" customWidth="1"/>
    <col min="2" max="2" width="17.57421875" style="38" customWidth="1"/>
    <col min="3" max="3" width="12.00390625" style="38" customWidth="1"/>
    <col min="4" max="4" width="10.7109375" style="38" customWidth="1"/>
    <col min="5" max="5" width="11.7109375" style="38" customWidth="1"/>
    <col min="6" max="6" width="11.7109375" style="61" customWidth="1"/>
    <col min="7" max="7" width="7.7109375" style="61" customWidth="1"/>
    <col min="8" max="8" width="10.28125" style="62" customWidth="1"/>
    <col min="9" max="9" width="11.28125" style="38" customWidth="1"/>
    <col min="10" max="10" width="11.00390625" style="38" customWidth="1"/>
    <col min="11" max="11" width="10.00390625" style="61" customWidth="1"/>
    <col min="12" max="12" width="6.140625" style="61" customWidth="1"/>
    <col min="13" max="13" width="11.8515625" style="38" customWidth="1"/>
    <col min="14" max="14" width="12.28125" style="61" customWidth="1"/>
    <col min="15" max="15" width="7.8515625" style="61" customWidth="1"/>
    <col min="16" max="16" width="11.7109375" style="38" customWidth="1"/>
    <col min="17" max="17" width="11.421875" style="38" customWidth="1"/>
    <col min="18" max="18" width="10.421875" style="38" customWidth="1"/>
    <col min="19" max="19" width="10.28125" style="38" customWidth="1"/>
    <col min="20" max="20" width="9.28125" style="38" customWidth="1"/>
    <col min="21" max="22" width="9.421875" style="38" customWidth="1"/>
    <col min="23" max="24" width="13.28125" style="38" customWidth="1"/>
    <col min="25" max="16384" width="9.140625" style="38" customWidth="1"/>
  </cols>
  <sheetData>
    <row r="1" spans="18:22" ht="18">
      <c r="R1" s="832" t="s">
        <v>178</v>
      </c>
      <c r="S1" s="832"/>
      <c r="T1" s="832"/>
      <c r="U1" s="832"/>
      <c r="V1" s="832"/>
    </row>
    <row r="2" spans="18:22" ht="18">
      <c r="R2" s="833" t="s">
        <v>625</v>
      </c>
      <c r="S2" s="833"/>
      <c r="T2" s="833"/>
      <c r="U2" s="833"/>
      <c r="V2" s="833"/>
    </row>
    <row r="3" spans="1:22" ht="18">
      <c r="A3" s="832" t="s">
        <v>731</v>
      </c>
      <c r="B3" s="832"/>
      <c r="C3" s="832"/>
      <c r="D3" s="832"/>
      <c r="E3" s="832"/>
      <c r="F3" s="832"/>
      <c r="G3" s="832"/>
      <c r="H3" s="832"/>
      <c r="I3" s="832"/>
      <c r="J3" s="832"/>
      <c r="K3" s="832"/>
      <c r="L3" s="832"/>
      <c r="M3" s="832"/>
      <c r="N3" s="832"/>
      <c r="O3" s="832"/>
      <c r="P3" s="832"/>
      <c r="Q3" s="832"/>
      <c r="R3" s="832"/>
      <c r="S3" s="832"/>
      <c r="T3" s="832"/>
      <c r="U3" s="832"/>
      <c r="V3" s="832"/>
    </row>
    <row r="4" spans="1:22" ht="18">
      <c r="A4" s="844" t="str">
        <f>'bieu 48 '!A4:F4</f>
        <v>(Kèm theo Báo cáo số 627/BC-UBND ngày 10 tháng 7 năm 2024 của UBND huyện Bắc Sơn)</v>
      </c>
      <c r="B4" s="844"/>
      <c r="C4" s="844"/>
      <c r="D4" s="844"/>
      <c r="E4" s="844"/>
      <c r="F4" s="844"/>
      <c r="G4" s="844"/>
      <c r="H4" s="844"/>
      <c r="I4" s="844"/>
      <c r="J4" s="844"/>
      <c r="K4" s="844"/>
      <c r="L4" s="844"/>
      <c r="M4" s="844"/>
      <c r="N4" s="844"/>
      <c r="O4" s="844"/>
      <c r="P4" s="844"/>
      <c r="Q4" s="844"/>
      <c r="R4" s="844"/>
      <c r="S4" s="844"/>
      <c r="T4" s="844"/>
      <c r="U4" s="844"/>
      <c r="V4" s="844"/>
    </row>
    <row r="5" spans="1:22" s="137" customFormat="1" ht="18">
      <c r="A5" s="38"/>
      <c r="B5" s="38"/>
      <c r="C5" s="38"/>
      <c r="D5" s="38"/>
      <c r="E5" s="38"/>
      <c r="F5" s="61"/>
      <c r="G5" s="61"/>
      <c r="H5" s="62"/>
      <c r="I5" s="51"/>
      <c r="J5" s="51"/>
      <c r="K5" s="51"/>
      <c r="L5" s="61"/>
      <c r="M5" s="520"/>
      <c r="N5" s="520"/>
      <c r="O5" s="520"/>
      <c r="P5" s="38"/>
      <c r="Q5" s="38"/>
      <c r="R5" s="38"/>
      <c r="S5" s="38"/>
      <c r="T5" s="38"/>
      <c r="U5" s="38"/>
      <c r="V5" s="48" t="s">
        <v>22</v>
      </c>
    </row>
    <row r="6" spans="1:22" s="137" customFormat="1" ht="12.75">
      <c r="A6" s="847" t="s">
        <v>23</v>
      </c>
      <c r="B6" s="847" t="s">
        <v>179</v>
      </c>
      <c r="C6" s="859" t="s">
        <v>180</v>
      </c>
      <c r="D6" s="860"/>
      <c r="E6" s="860"/>
      <c r="F6" s="860"/>
      <c r="G6" s="860"/>
      <c r="H6" s="861"/>
      <c r="I6" s="847" t="s">
        <v>26</v>
      </c>
      <c r="J6" s="847"/>
      <c r="K6" s="847"/>
      <c r="L6" s="847"/>
      <c r="M6" s="847"/>
      <c r="N6" s="847"/>
      <c r="O6" s="847"/>
      <c r="P6" s="847"/>
      <c r="Q6" s="847"/>
      <c r="R6" s="847"/>
      <c r="S6" s="847"/>
      <c r="T6" s="847" t="s">
        <v>76</v>
      </c>
      <c r="U6" s="847"/>
      <c r="V6" s="847"/>
    </row>
    <row r="7" spans="1:22" s="137" customFormat="1" ht="15.75" customHeight="1">
      <c r="A7" s="847"/>
      <c r="B7" s="847"/>
      <c r="C7" s="847" t="s">
        <v>154</v>
      </c>
      <c r="D7" s="847" t="s">
        <v>52</v>
      </c>
      <c r="E7" s="851" t="s">
        <v>288</v>
      </c>
      <c r="F7" s="856" t="s">
        <v>163</v>
      </c>
      <c r="G7" s="857"/>
      <c r="H7" s="851" t="s">
        <v>269</v>
      </c>
      <c r="I7" s="838" t="s">
        <v>154</v>
      </c>
      <c r="J7" s="847" t="s">
        <v>52</v>
      </c>
      <c r="K7" s="847"/>
      <c r="L7" s="847"/>
      <c r="M7" s="847" t="s">
        <v>53</v>
      </c>
      <c r="N7" s="847"/>
      <c r="O7" s="847"/>
      <c r="P7" s="847" t="s">
        <v>181</v>
      </c>
      <c r="Q7" s="847"/>
      <c r="R7" s="847"/>
      <c r="S7" s="838" t="s">
        <v>61</v>
      </c>
      <c r="T7" s="847" t="s">
        <v>154</v>
      </c>
      <c r="U7" s="847" t="s">
        <v>52</v>
      </c>
      <c r="V7" s="851" t="s">
        <v>288</v>
      </c>
    </row>
    <row r="8" spans="1:22" s="137" customFormat="1" ht="12.75">
      <c r="A8" s="847"/>
      <c r="B8" s="847"/>
      <c r="C8" s="847"/>
      <c r="D8" s="847"/>
      <c r="E8" s="852"/>
      <c r="F8" s="854" t="s">
        <v>182</v>
      </c>
      <c r="G8" s="854" t="s">
        <v>111</v>
      </c>
      <c r="H8" s="852"/>
      <c r="I8" s="838"/>
      <c r="J8" s="847" t="s">
        <v>154</v>
      </c>
      <c r="K8" s="858" t="s">
        <v>163</v>
      </c>
      <c r="L8" s="858"/>
      <c r="M8" s="847" t="s">
        <v>154</v>
      </c>
      <c r="N8" s="858" t="s">
        <v>163</v>
      </c>
      <c r="O8" s="858"/>
      <c r="P8" s="847" t="s">
        <v>154</v>
      </c>
      <c r="Q8" s="847" t="s">
        <v>163</v>
      </c>
      <c r="R8" s="847"/>
      <c r="S8" s="838"/>
      <c r="T8" s="847"/>
      <c r="U8" s="847"/>
      <c r="V8" s="852"/>
    </row>
    <row r="9" spans="1:22" s="1" customFormat="1" ht="64.5">
      <c r="A9" s="847"/>
      <c r="B9" s="847"/>
      <c r="C9" s="847"/>
      <c r="D9" s="847"/>
      <c r="E9" s="853"/>
      <c r="F9" s="855"/>
      <c r="G9" s="855"/>
      <c r="H9" s="853"/>
      <c r="I9" s="838"/>
      <c r="J9" s="847"/>
      <c r="K9" s="138" t="s">
        <v>182</v>
      </c>
      <c r="L9" s="138" t="s">
        <v>118</v>
      </c>
      <c r="M9" s="847"/>
      <c r="N9" s="138" t="s">
        <v>182</v>
      </c>
      <c r="O9" s="138" t="s">
        <v>183</v>
      </c>
      <c r="P9" s="847"/>
      <c r="Q9" s="56" t="s">
        <v>52</v>
      </c>
      <c r="R9" s="56" t="s">
        <v>53</v>
      </c>
      <c r="S9" s="838"/>
      <c r="T9" s="847"/>
      <c r="U9" s="847"/>
      <c r="V9" s="853"/>
    </row>
    <row r="10" spans="1:23" s="63" customFormat="1" ht="15">
      <c r="A10" s="136" t="s">
        <v>30</v>
      </c>
      <c r="B10" s="136" t="s">
        <v>31</v>
      </c>
      <c r="C10" s="136">
        <v>1</v>
      </c>
      <c r="D10" s="136">
        <v>2</v>
      </c>
      <c r="E10" s="136">
        <v>3</v>
      </c>
      <c r="F10" s="136">
        <v>4</v>
      </c>
      <c r="G10" s="136">
        <v>5</v>
      </c>
      <c r="H10" s="136"/>
      <c r="I10" s="139" t="s">
        <v>10</v>
      </c>
      <c r="J10" s="136">
        <v>7</v>
      </c>
      <c r="K10" s="136">
        <v>8</v>
      </c>
      <c r="L10" s="136">
        <v>9</v>
      </c>
      <c r="M10" s="136">
        <v>10</v>
      </c>
      <c r="N10" s="136">
        <v>11</v>
      </c>
      <c r="O10" s="136">
        <v>12</v>
      </c>
      <c r="P10" s="136">
        <v>13</v>
      </c>
      <c r="Q10" s="136">
        <v>14</v>
      </c>
      <c r="R10" s="136">
        <v>15</v>
      </c>
      <c r="S10" s="481">
        <v>16</v>
      </c>
      <c r="T10" s="136" t="s">
        <v>468</v>
      </c>
      <c r="U10" s="136" t="s">
        <v>469</v>
      </c>
      <c r="V10" s="136" t="s">
        <v>470</v>
      </c>
      <c r="W10" s="2"/>
    </row>
    <row r="11" spans="1:24" s="121" customFormat="1" ht="28.5" customHeight="1">
      <c r="A11" s="198"/>
      <c r="B11" s="199" t="s">
        <v>158</v>
      </c>
      <c r="C11" s="316">
        <f>C12+C110</f>
        <v>629562.512</v>
      </c>
      <c r="D11" s="316">
        <f aca="true" t="shared" si="0" ref="D11:V11">D12+D110</f>
        <v>14608</v>
      </c>
      <c r="E11" s="316">
        <f t="shared" si="0"/>
        <v>503895.002</v>
      </c>
      <c r="F11" s="316">
        <f t="shared" si="0"/>
        <v>252477.704</v>
      </c>
      <c r="G11" s="316">
        <f t="shared" si="0"/>
        <v>30</v>
      </c>
      <c r="H11" s="316">
        <f t="shared" si="0"/>
        <v>10718</v>
      </c>
      <c r="I11" s="316">
        <f t="shared" si="0"/>
        <v>784919.1929289999</v>
      </c>
      <c r="J11" s="316">
        <f t="shared" si="0"/>
        <v>38348.077</v>
      </c>
      <c r="K11" s="316">
        <f t="shared" si="0"/>
        <v>8945.383000000002</v>
      </c>
      <c r="L11" s="316">
        <f t="shared" si="0"/>
        <v>0</v>
      </c>
      <c r="M11" s="316">
        <f t="shared" si="0"/>
        <v>564836.3868859999</v>
      </c>
      <c r="N11" s="316">
        <f t="shared" si="0"/>
        <v>281800.08823100006</v>
      </c>
      <c r="O11" s="316">
        <f t="shared" si="0"/>
        <v>35.04</v>
      </c>
      <c r="P11" s="316">
        <f t="shared" si="0"/>
        <v>147991.43801</v>
      </c>
      <c r="Q11" s="316">
        <f t="shared" si="0"/>
        <v>112315.078</v>
      </c>
      <c r="R11" s="316">
        <f t="shared" si="0"/>
        <v>35676.360010000004</v>
      </c>
      <c r="S11" s="316">
        <f t="shared" si="0"/>
        <v>86781.52400199999</v>
      </c>
      <c r="T11" s="316">
        <f t="shared" si="0"/>
        <v>305.80433788776725</v>
      </c>
      <c r="U11" s="316">
        <f t="shared" si="0"/>
        <v>249.57162513691125</v>
      </c>
      <c r="V11" s="316">
        <f t="shared" si="0"/>
        <v>224.09127608578376</v>
      </c>
      <c r="W11" s="10"/>
      <c r="X11" s="416"/>
    </row>
    <row r="12" spans="1:24" s="64" customFormat="1" ht="28.5" customHeight="1">
      <c r="A12" s="200" t="s">
        <v>35</v>
      </c>
      <c r="B12" s="201" t="s">
        <v>445</v>
      </c>
      <c r="C12" s="314">
        <f>SUM(C13:C109)</f>
        <v>543349.242</v>
      </c>
      <c r="D12" s="314">
        <f aca="true" t="shared" si="1" ref="D12:S12">SUM(D13:D109)</f>
        <v>14608</v>
      </c>
      <c r="E12" s="314">
        <f t="shared" si="1"/>
        <v>419450.852</v>
      </c>
      <c r="F12" s="314">
        <f t="shared" si="1"/>
        <v>251921.78399999999</v>
      </c>
      <c r="G12" s="314">
        <f t="shared" si="1"/>
        <v>30</v>
      </c>
      <c r="H12" s="314">
        <f t="shared" si="1"/>
        <v>8948.88</v>
      </c>
      <c r="I12" s="314">
        <f t="shared" si="1"/>
        <v>619584.8544899999</v>
      </c>
      <c r="J12" s="314">
        <f t="shared" si="1"/>
        <v>36457.422999999995</v>
      </c>
      <c r="K12" s="314">
        <f t="shared" si="1"/>
        <v>8945.383000000002</v>
      </c>
      <c r="L12" s="314">
        <f t="shared" si="1"/>
        <v>0</v>
      </c>
      <c r="M12" s="314">
        <f t="shared" si="1"/>
        <v>470281.90883</v>
      </c>
      <c r="N12" s="314">
        <f t="shared" si="1"/>
        <v>280989.57093100005</v>
      </c>
      <c r="O12" s="314">
        <f t="shared" si="1"/>
        <v>35.04</v>
      </c>
      <c r="P12" s="314">
        <f t="shared" si="1"/>
        <v>112845.52266</v>
      </c>
      <c r="Q12" s="314">
        <f t="shared" si="1"/>
        <v>101975.961</v>
      </c>
      <c r="R12" s="314">
        <f t="shared" si="1"/>
        <v>10869.561660000001</v>
      </c>
      <c r="S12" s="314">
        <f t="shared" si="1"/>
        <v>53038.232969</v>
      </c>
      <c r="T12" s="202">
        <f>I12/C12*100</f>
        <v>114.03068350834286</v>
      </c>
      <c r="U12" s="202">
        <f>J12/D12*100</f>
        <v>249.57162513691125</v>
      </c>
      <c r="V12" s="202">
        <f>M12/E12*100</f>
        <v>112.11847743010424</v>
      </c>
      <c r="W12" s="65">
        <f>M12+R12</f>
        <v>481151.47049</v>
      </c>
      <c r="X12" s="65">
        <f>J12+Q12</f>
        <v>138433.384</v>
      </c>
    </row>
    <row r="13" spans="1:24" s="64" customFormat="1" ht="28.5" customHeight="1">
      <c r="A13" s="207">
        <v>1</v>
      </c>
      <c r="B13" s="203" t="s">
        <v>294</v>
      </c>
      <c r="C13" s="313">
        <f>'bieu 54'!C12</f>
        <v>7562.35</v>
      </c>
      <c r="D13" s="313">
        <f>'bieu 54'!D12</f>
        <v>0</v>
      </c>
      <c r="E13" s="313">
        <f>'bieu 54'!E12</f>
        <v>7562.35</v>
      </c>
      <c r="F13" s="315">
        <v>309.39</v>
      </c>
      <c r="G13" s="315"/>
      <c r="H13" s="317"/>
      <c r="I13" s="299">
        <f>J13+M13+P13</f>
        <v>8962.1891</v>
      </c>
      <c r="J13" s="313">
        <f>'bieu 54'!H12</f>
        <v>0</v>
      </c>
      <c r="K13" s="315"/>
      <c r="L13" s="315"/>
      <c r="M13" s="313">
        <f>'bieu 54'!I12</f>
        <v>8962.1891</v>
      </c>
      <c r="N13" s="315">
        <v>845.542</v>
      </c>
      <c r="O13" s="315"/>
      <c r="P13" s="313">
        <f>Q13+R13</f>
        <v>0</v>
      </c>
      <c r="Q13" s="313">
        <f>'bieu 54'!M12</f>
        <v>0</v>
      </c>
      <c r="R13" s="313">
        <f>'bieu 54'!N12</f>
        <v>0</v>
      </c>
      <c r="S13" s="299">
        <f>'bieu 54'!O12</f>
        <v>0</v>
      </c>
      <c r="T13" s="204">
        <f>I13/C13*100</f>
        <v>118.51063624402467</v>
      </c>
      <c r="U13" s="204" t="e">
        <f>J13/D13*100</f>
        <v>#DIV/0!</v>
      </c>
      <c r="V13" s="204">
        <f>M13/E13*100</f>
        <v>118.51063624402467</v>
      </c>
      <c r="W13" s="65"/>
      <c r="X13" s="65"/>
    </row>
    <row r="14" spans="1:24" s="64" customFormat="1" ht="28.5" customHeight="1">
      <c r="A14" s="207">
        <v>2</v>
      </c>
      <c r="B14" s="203" t="s">
        <v>446</v>
      </c>
      <c r="C14" s="313">
        <f>'bieu 54'!C13</f>
        <v>1133.758</v>
      </c>
      <c r="D14" s="313">
        <f>'bieu 54'!D13</f>
        <v>0</v>
      </c>
      <c r="E14" s="313">
        <f>'bieu 54'!E13</f>
        <v>1133.758</v>
      </c>
      <c r="F14" s="315"/>
      <c r="G14" s="315"/>
      <c r="H14" s="317"/>
      <c r="I14" s="299">
        <f aca="true" t="shared" si="2" ref="I14:I78">J14+M14+P14</f>
        <v>1261.961</v>
      </c>
      <c r="J14" s="313">
        <f>'bieu 54'!H13</f>
        <v>0</v>
      </c>
      <c r="K14" s="315"/>
      <c r="L14" s="315"/>
      <c r="M14" s="313">
        <f>'bieu 54'!I13</f>
        <v>1251.961</v>
      </c>
      <c r="N14" s="315"/>
      <c r="O14" s="315"/>
      <c r="P14" s="313">
        <f aca="true" t="shared" si="3" ref="P14:P78">Q14+R14</f>
        <v>10</v>
      </c>
      <c r="Q14" s="313">
        <f>'bieu 54'!M13</f>
        <v>0</v>
      </c>
      <c r="R14" s="313">
        <f>'bieu 54'!N13</f>
        <v>10</v>
      </c>
      <c r="S14" s="299">
        <f>'bieu 54'!O13</f>
        <v>123.63</v>
      </c>
      <c r="T14" s="204">
        <f aca="true" t="shared" si="4" ref="T14:T78">I14/C14*100</f>
        <v>111.30779231546768</v>
      </c>
      <c r="U14" s="204" t="e">
        <f aca="true" t="shared" si="5" ref="U14:U78">J14/D14*100</f>
        <v>#DIV/0!</v>
      </c>
      <c r="V14" s="204">
        <f aca="true" t="shared" si="6" ref="V14:V78">M14/E14*100</f>
        <v>110.42576987328864</v>
      </c>
      <c r="W14" s="65"/>
      <c r="X14" s="65"/>
    </row>
    <row r="15" spans="1:24" s="64" customFormat="1" ht="28.5" customHeight="1">
      <c r="A15" s="207">
        <v>3</v>
      </c>
      <c r="B15" s="203" t="s">
        <v>447</v>
      </c>
      <c r="C15" s="313">
        <f>'bieu 54'!C14</f>
        <v>546.7</v>
      </c>
      <c r="D15" s="313">
        <f>'bieu 54'!D14</f>
        <v>0</v>
      </c>
      <c r="E15" s="313">
        <f>'bieu 54'!E14</f>
        <v>546.7</v>
      </c>
      <c r="F15" s="315"/>
      <c r="G15" s="315"/>
      <c r="H15" s="317"/>
      <c r="I15" s="299">
        <f t="shared" si="2"/>
        <v>630.994</v>
      </c>
      <c r="J15" s="313">
        <f>'bieu 54'!H14</f>
        <v>0</v>
      </c>
      <c r="K15" s="315"/>
      <c r="L15" s="315"/>
      <c r="M15" s="313">
        <f>'bieu 54'!I14</f>
        <v>620.994</v>
      </c>
      <c r="N15" s="315"/>
      <c r="O15" s="315"/>
      <c r="P15" s="313">
        <f t="shared" si="3"/>
        <v>10</v>
      </c>
      <c r="Q15" s="313">
        <f>'bieu 54'!M14</f>
        <v>0</v>
      </c>
      <c r="R15" s="313">
        <f>'bieu 54'!N14</f>
        <v>10</v>
      </c>
      <c r="S15" s="299">
        <f>'bieu 54'!O14</f>
        <v>44.604</v>
      </c>
      <c r="T15" s="204">
        <f t="shared" si="4"/>
        <v>115.41869398207425</v>
      </c>
      <c r="U15" s="204" t="e">
        <f t="shared" si="5"/>
        <v>#DIV/0!</v>
      </c>
      <c r="V15" s="204">
        <f t="shared" si="6"/>
        <v>113.58953722334005</v>
      </c>
      <c r="W15" s="65"/>
      <c r="X15" s="65"/>
    </row>
    <row r="16" spans="1:24" s="64" customFormat="1" ht="28.5" customHeight="1">
      <c r="A16" s="207">
        <v>4</v>
      </c>
      <c r="B16" s="203" t="s">
        <v>448</v>
      </c>
      <c r="C16" s="313">
        <f>'bieu 54'!C15</f>
        <v>3322.3559999999998</v>
      </c>
      <c r="D16" s="313">
        <f>'bieu 54'!D15</f>
        <v>0</v>
      </c>
      <c r="E16" s="313">
        <f>'bieu 54'!E15</f>
        <v>556.356</v>
      </c>
      <c r="F16" s="315"/>
      <c r="G16" s="315"/>
      <c r="H16" s="317"/>
      <c r="I16" s="299">
        <f t="shared" si="2"/>
        <v>1516.297</v>
      </c>
      <c r="J16" s="313">
        <f>'bieu 54'!H15</f>
        <v>0</v>
      </c>
      <c r="K16" s="315"/>
      <c r="L16" s="315"/>
      <c r="M16" s="313">
        <f>'bieu 54'!I15</f>
        <v>758.1800000000001</v>
      </c>
      <c r="N16" s="315"/>
      <c r="O16" s="315"/>
      <c r="P16" s="313">
        <f t="shared" si="3"/>
        <v>758.117</v>
      </c>
      <c r="Q16" s="313">
        <f>'bieu 54'!M15</f>
        <v>0</v>
      </c>
      <c r="R16" s="313">
        <f>'bieu 54'!N15</f>
        <v>758.117</v>
      </c>
      <c r="S16" s="299">
        <f>'bieu 54'!O15</f>
        <v>2726.158</v>
      </c>
      <c r="T16" s="204">
        <f t="shared" si="4"/>
        <v>45.63920904322114</v>
      </c>
      <c r="U16" s="204" t="e">
        <f t="shared" si="5"/>
        <v>#DIV/0!</v>
      </c>
      <c r="V16" s="204">
        <f t="shared" si="6"/>
        <v>136.27605346217172</v>
      </c>
      <c r="W16" s="65"/>
      <c r="X16" s="65"/>
    </row>
    <row r="17" spans="1:24" s="64" customFormat="1" ht="28.5" customHeight="1">
      <c r="A17" s="207">
        <v>5</v>
      </c>
      <c r="B17" s="203" t="s">
        <v>449</v>
      </c>
      <c r="C17" s="313">
        <f>'bieu 54'!C16</f>
        <v>813.91</v>
      </c>
      <c r="D17" s="313">
        <f>'bieu 54'!D16</f>
        <v>0</v>
      </c>
      <c r="E17" s="313">
        <f>'bieu 54'!E16</f>
        <v>813.91</v>
      </c>
      <c r="F17" s="315"/>
      <c r="G17" s="315"/>
      <c r="H17" s="317"/>
      <c r="I17" s="299">
        <f t="shared" si="2"/>
        <v>948.954</v>
      </c>
      <c r="J17" s="313">
        <f>'bieu 54'!H16</f>
        <v>0</v>
      </c>
      <c r="K17" s="315"/>
      <c r="L17" s="315"/>
      <c r="M17" s="313">
        <f>'bieu 54'!I16</f>
        <v>938.954</v>
      </c>
      <c r="N17" s="315"/>
      <c r="O17" s="315"/>
      <c r="P17" s="313">
        <f t="shared" si="3"/>
        <v>10</v>
      </c>
      <c r="Q17" s="313">
        <f>'bieu 54'!M16</f>
        <v>0</v>
      </c>
      <c r="R17" s="313">
        <f>'bieu 54'!N16</f>
        <v>10</v>
      </c>
      <c r="S17" s="299">
        <f>'bieu 54'!O16</f>
        <v>123.32</v>
      </c>
      <c r="T17" s="204">
        <f t="shared" si="4"/>
        <v>116.59200648720373</v>
      </c>
      <c r="U17" s="204" t="e">
        <f t="shared" si="5"/>
        <v>#DIV/0!</v>
      </c>
      <c r="V17" s="204">
        <f t="shared" si="6"/>
        <v>115.36336941430872</v>
      </c>
      <c r="W17" s="65"/>
      <c r="X17" s="65"/>
    </row>
    <row r="18" spans="1:24" s="64" customFormat="1" ht="28.5" customHeight="1">
      <c r="A18" s="207">
        <v>6</v>
      </c>
      <c r="B18" s="203" t="s">
        <v>450</v>
      </c>
      <c r="C18" s="313">
        <f>'bieu 54'!C17</f>
        <v>422.336</v>
      </c>
      <c r="D18" s="313">
        <f>'bieu 54'!D17</f>
        <v>0</v>
      </c>
      <c r="E18" s="313">
        <f>'bieu 54'!E17</f>
        <v>422.336</v>
      </c>
      <c r="F18" s="315"/>
      <c r="G18" s="315"/>
      <c r="H18" s="317"/>
      <c r="I18" s="299">
        <f t="shared" si="2"/>
        <v>584.154</v>
      </c>
      <c r="J18" s="313">
        <f>'bieu 54'!H17</f>
        <v>0</v>
      </c>
      <c r="K18" s="315"/>
      <c r="L18" s="315"/>
      <c r="M18" s="313">
        <f>'bieu 54'!I17</f>
        <v>574.154</v>
      </c>
      <c r="N18" s="315"/>
      <c r="O18" s="315"/>
      <c r="P18" s="313">
        <f t="shared" si="3"/>
        <v>10</v>
      </c>
      <c r="Q18" s="313">
        <f>'bieu 54'!M17</f>
        <v>0</v>
      </c>
      <c r="R18" s="313">
        <f>'bieu 54'!N17</f>
        <v>10</v>
      </c>
      <c r="S18" s="299">
        <f>'bieu 54'!O17</f>
        <v>0</v>
      </c>
      <c r="T18" s="204">
        <f t="shared" si="4"/>
        <v>138.31499090771328</v>
      </c>
      <c r="U18" s="204" t="e">
        <f t="shared" si="5"/>
        <v>#DIV/0!</v>
      </c>
      <c r="V18" s="204">
        <f t="shared" si="6"/>
        <v>135.94720791028942</v>
      </c>
      <c r="W18" s="65"/>
      <c r="X18" s="65"/>
    </row>
    <row r="19" spans="1:24" s="64" customFormat="1" ht="28.5" customHeight="1">
      <c r="A19" s="207">
        <v>7</v>
      </c>
      <c r="B19" s="205" t="s">
        <v>295</v>
      </c>
      <c r="C19" s="313">
        <f>'bieu 54'!C18</f>
        <v>4808.727999999999</v>
      </c>
      <c r="D19" s="313">
        <f>'bieu 54'!D18</f>
        <v>0</v>
      </c>
      <c r="E19" s="313">
        <f>'bieu 54'!E18</f>
        <v>4808.727999999999</v>
      </c>
      <c r="F19" s="315"/>
      <c r="G19" s="315"/>
      <c r="H19" s="317"/>
      <c r="I19" s="299">
        <f t="shared" si="2"/>
        <v>7520.574</v>
      </c>
      <c r="J19" s="313">
        <f>'bieu 54'!H18</f>
        <v>0</v>
      </c>
      <c r="K19" s="315"/>
      <c r="L19" s="315"/>
      <c r="M19" s="313">
        <f>'bieu 54'!I18</f>
        <v>7520.574</v>
      </c>
      <c r="N19" s="315"/>
      <c r="O19" s="315"/>
      <c r="P19" s="313">
        <f t="shared" si="3"/>
        <v>0</v>
      </c>
      <c r="Q19" s="313">
        <f>'bieu 54'!M18</f>
        <v>0</v>
      </c>
      <c r="R19" s="313">
        <f>'bieu 54'!N18</f>
        <v>0</v>
      </c>
      <c r="S19" s="299">
        <f>'bieu 54'!O18</f>
        <v>118.5224</v>
      </c>
      <c r="T19" s="204">
        <f t="shared" si="4"/>
        <v>156.39424812549183</v>
      </c>
      <c r="U19" s="204" t="e">
        <f t="shared" si="5"/>
        <v>#DIV/0!</v>
      </c>
      <c r="V19" s="204">
        <f t="shared" si="6"/>
        <v>156.39424812549183</v>
      </c>
      <c r="W19" s="65"/>
      <c r="X19" s="65"/>
    </row>
    <row r="20" spans="1:24" s="64" customFormat="1" ht="28.5" customHeight="1">
      <c r="A20" s="207">
        <v>8</v>
      </c>
      <c r="B20" s="205" t="s">
        <v>451</v>
      </c>
      <c r="C20" s="313">
        <f>'bieu 54'!C19</f>
        <v>8307.57</v>
      </c>
      <c r="D20" s="313">
        <f>'bieu 54'!D19</f>
        <v>150</v>
      </c>
      <c r="E20" s="313">
        <f>'bieu 54'!E19</f>
        <v>6977.57</v>
      </c>
      <c r="F20" s="315"/>
      <c r="G20" s="315"/>
      <c r="H20" s="317"/>
      <c r="I20" s="299">
        <f t="shared" si="2"/>
        <v>6876.145</v>
      </c>
      <c r="J20" s="313">
        <f>'bieu 54'!H19</f>
        <v>349.328</v>
      </c>
      <c r="K20" s="315"/>
      <c r="L20" s="315"/>
      <c r="M20" s="313">
        <f>'bieu 54'!I19</f>
        <v>6079.6833</v>
      </c>
      <c r="N20" s="315"/>
      <c r="O20" s="315"/>
      <c r="P20" s="313">
        <f t="shared" si="3"/>
        <v>447.1337</v>
      </c>
      <c r="Q20" s="313">
        <f>'bieu 54'!M19</f>
        <v>0</v>
      </c>
      <c r="R20" s="313">
        <f>'bieu 54'!N19</f>
        <v>447.1337</v>
      </c>
      <c r="S20" s="299">
        <f>'bieu 54'!O19</f>
        <v>1669.0599</v>
      </c>
      <c r="T20" s="204">
        <f t="shared" si="4"/>
        <v>82.76963058993184</v>
      </c>
      <c r="U20" s="204">
        <f t="shared" si="5"/>
        <v>232.8853333333333</v>
      </c>
      <c r="V20" s="204">
        <f t="shared" si="6"/>
        <v>87.13181379764016</v>
      </c>
      <c r="W20" s="65"/>
      <c r="X20" s="65"/>
    </row>
    <row r="21" spans="1:24" s="64" customFormat="1" ht="28.5" customHeight="1">
      <c r="A21" s="207">
        <v>9</v>
      </c>
      <c r="B21" s="205" t="s">
        <v>299</v>
      </c>
      <c r="C21" s="313">
        <f>'bieu 54'!C20</f>
        <v>1084.32</v>
      </c>
      <c r="D21" s="313">
        <f>'bieu 54'!D20</f>
        <v>0</v>
      </c>
      <c r="E21" s="313">
        <f>'bieu 54'!E20</f>
        <v>664.3199999999999</v>
      </c>
      <c r="F21" s="315"/>
      <c r="G21" s="315"/>
      <c r="H21" s="317"/>
      <c r="I21" s="299">
        <f t="shared" si="2"/>
        <v>1210.658</v>
      </c>
      <c r="J21" s="313">
        <f>'bieu 54'!H20</f>
        <v>0</v>
      </c>
      <c r="K21" s="315"/>
      <c r="L21" s="315"/>
      <c r="M21" s="313">
        <f>'bieu 54'!I20</f>
        <v>790.6579999999999</v>
      </c>
      <c r="N21" s="315"/>
      <c r="O21" s="315"/>
      <c r="P21" s="313">
        <f t="shared" si="3"/>
        <v>420</v>
      </c>
      <c r="Q21" s="313">
        <f>'bieu 54'!M20</f>
        <v>0</v>
      </c>
      <c r="R21" s="313">
        <f>'bieu 54'!N20</f>
        <v>420</v>
      </c>
      <c r="S21" s="299">
        <f>'bieu 54'!O20</f>
        <v>0</v>
      </c>
      <c r="T21" s="204">
        <f t="shared" si="4"/>
        <v>111.65135753283164</v>
      </c>
      <c r="U21" s="204" t="e">
        <f t="shared" si="5"/>
        <v>#DIV/0!</v>
      </c>
      <c r="V21" s="204">
        <f t="shared" si="6"/>
        <v>119.01764210019267</v>
      </c>
      <c r="W21" s="65"/>
      <c r="X21" s="65"/>
    </row>
    <row r="22" spans="1:24" s="64" customFormat="1" ht="28.5" customHeight="1">
      <c r="A22" s="207">
        <v>10</v>
      </c>
      <c r="B22" s="205" t="s">
        <v>635</v>
      </c>
      <c r="C22" s="313">
        <f>'bieu 54'!C21</f>
        <v>29369.86</v>
      </c>
      <c r="D22" s="313">
        <f>'bieu 54'!D21</f>
        <v>0</v>
      </c>
      <c r="E22" s="313">
        <f>'bieu 54'!E21</f>
        <v>29369.86</v>
      </c>
      <c r="F22" s="315">
        <v>178</v>
      </c>
      <c r="G22" s="315"/>
      <c r="H22" s="317"/>
      <c r="I22" s="299">
        <f t="shared" si="2"/>
        <v>35809.08652</v>
      </c>
      <c r="J22" s="313">
        <f>'bieu 54'!H21</f>
        <v>0</v>
      </c>
      <c r="K22" s="315"/>
      <c r="L22" s="315"/>
      <c r="M22" s="313">
        <f>'bieu 54'!I21</f>
        <v>35809.08652</v>
      </c>
      <c r="N22" s="315">
        <v>196</v>
      </c>
      <c r="O22" s="315"/>
      <c r="P22" s="313">
        <f t="shared" si="3"/>
        <v>0</v>
      </c>
      <c r="Q22" s="313">
        <f>'bieu 54'!M21</f>
        <v>0</v>
      </c>
      <c r="R22" s="313">
        <f>'bieu 54'!N21</f>
        <v>0</v>
      </c>
      <c r="S22" s="299">
        <f>'bieu 54'!O21</f>
        <v>150</v>
      </c>
      <c r="T22" s="204">
        <f t="shared" si="4"/>
        <v>121.92460747174142</v>
      </c>
      <c r="U22" s="204" t="e">
        <f t="shared" si="5"/>
        <v>#DIV/0!</v>
      </c>
      <c r="V22" s="204">
        <f t="shared" si="6"/>
        <v>121.92460747174142</v>
      </c>
      <c r="W22" s="65"/>
      <c r="X22" s="65"/>
    </row>
    <row r="23" spans="1:24" s="64" customFormat="1" ht="25.5">
      <c r="A23" s="207">
        <v>11</v>
      </c>
      <c r="B23" s="205" t="s">
        <v>297</v>
      </c>
      <c r="C23" s="313">
        <f>'bieu 54'!C22</f>
        <v>9922.369999999999</v>
      </c>
      <c r="D23" s="313">
        <f>'bieu 54'!D22</f>
        <v>2402</v>
      </c>
      <c r="E23" s="313">
        <f>'bieu 54'!E22</f>
        <v>7520.37</v>
      </c>
      <c r="F23" s="315"/>
      <c r="G23" s="315">
        <v>30</v>
      </c>
      <c r="H23" s="317"/>
      <c r="I23" s="299">
        <f t="shared" si="2"/>
        <v>16072.218200000001</v>
      </c>
      <c r="J23" s="313">
        <f>'bieu 54'!H22</f>
        <v>3660.699</v>
      </c>
      <c r="K23" s="315"/>
      <c r="L23" s="315"/>
      <c r="M23" s="313">
        <f>'bieu 54'!I22</f>
        <v>11781.8772</v>
      </c>
      <c r="N23" s="315"/>
      <c r="O23" s="315">
        <v>35.04</v>
      </c>
      <c r="P23" s="313">
        <f t="shared" si="3"/>
        <v>629.642</v>
      </c>
      <c r="Q23" s="313">
        <f>'bieu 54'!M22</f>
        <v>0</v>
      </c>
      <c r="R23" s="313">
        <f>'bieu 54'!N22</f>
        <v>629.642</v>
      </c>
      <c r="S23" s="299">
        <f>'bieu 54'!O22</f>
        <v>1260.22</v>
      </c>
      <c r="T23" s="204">
        <f t="shared" si="4"/>
        <v>161.97962986665488</v>
      </c>
      <c r="U23" s="204">
        <f t="shared" si="5"/>
        <v>152.40212323064114</v>
      </c>
      <c r="V23" s="204">
        <f t="shared" si="6"/>
        <v>156.6661906262591</v>
      </c>
      <c r="W23" s="65"/>
      <c r="X23" s="65"/>
    </row>
    <row r="24" spans="1:24" s="64" customFormat="1" ht="25.5">
      <c r="A24" s="207">
        <v>12</v>
      </c>
      <c r="B24" s="205" t="s">
        <v>532</v>
      </c>
      <c r="C24" s="313">
        <f>'bieu 54'!C23</f>
        <v>4468.08</v>
      </c>
      <c r="D24" s="313">
        <f>'bieu 54'!D23</f>
        <v>0</v>
      </c>
      <c r="E24" s="313">
        <f>'bieu 54'!E23</f>
        <v>4468.08</v>
      </c>
      <c r="F24" s="315">
        <v>3200</v>
      </c>
      <c r="G24" s="315"/>
      <c r="H24" s="317"/>
      <c r="I24" s="299">
        <f t="shared" si="2"/>
        <v>4793.737802</v>
      </c>
      <c r="J24" s="313">
        <f>'bieu 54'!H23</f>
        <v>0</v>
      </c>
      <c r="K24" s="315"/>
      <c r="L24" s="315"/>
      <c r="M24" s="313">
        <f>'bieu 54'!I23</f>
        <v>4748.815802</v>
      </c>
      <c r="N24" s="315">
        <f>3475.307-44.9225</f>
        <v>3430.3844999999997</v>
      </c>
      <c r="O24" s="315"/>
      <c r="P24" s="313">
        <f t="shared" si="3"/>
        <v>44.922</v>
      </c>
      <c r="Q24" s="313">
        <f>'bieu 54'!M23</f>
        <v>0</v>
      </c>
      <c r="R24" s="313">
        <f>'bieu 54'!N23</f>
        <v>44.922</v>
      </c>
      <c r="S24" s="299">
        <f>'bieu 54'!O23</f>
        <v>515.0775</v>
      </c>
      <c r="T24" s="204">
        <f t="shared" si="4"/>
        <v>107.28854008880771</v>
      </c>
      <c r="U24" s="204" t="e">
        <f t="shared" si="5"/>
        <v>#DIV/0!</v>
      </c>
      <c r="V24" s="204">
        <f t="shared" si="6"/>
        <v>106.28314179692396</v>
      </c>
      <c r="W24" s="65"/>
      <c r="X24" s="65"/>
    </row>
    <row r="25" spans="1:24" s="64" customFormat="1" ht="25.5">
      <c r="A25" s="207">
        <v>13</v>
      </c>
      <c r="B25" s="205" t="s">
        <v>494</v>
      </c>
      <c r="C25" s="313">
        <f>'bieu 54'!C24</f>
        <v>32161.61</v>
      </c>
      <c r="D25" s="313">
        <f>'bieu 54'!D24</f>
        <v>0</v>
      </c>
      <c r="E25" s="313">
        <f>'bieu 54'!E24</f>
        <v>27488.61</v>
      </c>
      <c r="F25" s="315"/>
      <c r="G25" s="315"/>
      <c r="H25" s="317"/>
      <c r="I25" s="299">
        <f t="shared" si="2"/>
        <v>29356.2398</v>
      </c>
      <c r="J25" s="313">
        <f>'bieu 54'!H24</f>
        <v>0</v>
      </c>
      <c r="K25" s="315"/>
      <c r="L25" s="315"/>
      <c r="M25" s="313">
        <f>'bieu 54'!I24</f>
        <v>26211.072799999998</v>
      </c>
      <c r="N25" s="315">
        <f>1629.245-534.929-776.962</f>
        <v>317.3539999999998</v>
      </c>
      <c r="O25" s="315"/>
      <c r="P25" s="313">
        <f t="shared" si="3"/>
        <v>3145.167</v>
      </c>
      <c r="Q25" s="313">
        <f>'bieu 54'!M24</f>
        <v>0</v>
      </c>
      <c r="R25" s="313">
        <f>'bieu 54'!N24</f>
        <v>3145.167</v>
      </c>
      <c r="S25" s="299">
        <f>'bieu 54'!O24</f>
        <v>4861.197799999999</v>
      </c>
      <c r="T25" s="204">
        <f t="shared" si="4"/>
        <v>91.27727063415047</v>
      </c>
      <c r="U25" s="204" t="e">
        <f t="shared" si="5"/>
        <v>#DIV/0!</v>
      </c>
      <c r="V25" s="204">
        <f t="shared" si="6"/>
        <v>95.3524852657155</v>
      </c>
      <c r="W25" s="65"/>
      <c r="X25" s="65"/>
    </row>
    <row r="26" spans="1:24" s="64" customFormat="1" ht="25.5">
      <c r="A26" s="207">
        <v>14</v>
      </c>
      <c r="B26" s="205" t="s">
        <v>452</v>
      </c>
      <c r="C26" s="313">
        <f>'bieu 54'!C25</f>
        <v>2349.3199999999997</v>
      </c>
      <c r="D26" s="313">
        <f>'bieu 54'!D25</f>
        <v>0</v>
      </c>
      <c r="E26" s="313">
        <f>'bieu 54'!E25</f>
        <v>966.3</v>
      </c>
      <c r="F26" s="315"/>
      <c r="G26" s="315"/>
      <c r="H26" s="317"/>
      <c r="I26" s="299">
        <f t="shared" si="2"/>
        <v>4080.508</v>
      </c>
      <c r="J26" s="313">
        <f>'bieu 54'!H25</f>
        <v>0</v>
      </c>
      <c r="K26" s="315"/>
      <c r="L26" s="315"/>
      <c r="M26" s="313">
        <f>'bieu 54'!I25</f>
        <v>1586.2464999999997</v>
      </c>
      <c r="N26" s="315"/>
      <c r="O26" s="315"/>
      <c r="P26" s="313">
        <f t="shared" si="3"/>
        <v>2494.2615</v>
      </c>
      <c r="Q26" s="313">
        <f>'bieu 54'!M25</f>
        <v>0</v>
      </c>
      <c r="R26" s="313">
        <f>'bieu 54'!N25</f>
        <v>2494.2615</v>
      </c>
      <c r="S26" s="299">
        <f>'bieu 54'!O25</f>
        <v>582.5285</v>
      </c>
      <c r="T26" s="204">
        <f t="shared" si="4"/>
        <v>173.68889721281053</v>
      </c>
      <c r="U26" s="204" t="e">
        <f t="shared" si="5"/>
        <v>#DIV/0!</v>
      </c>
      <c r="V26" s="204">
        <f t="shared" si="6"/>
        <v>164.1567318638104</v>
      </c>
      <c r="W26" s="65"/>
      <c r="X26" s="65"/>
    </row>
    <row r="27" spans="1:24" s="64" customFormat="1" ht="25.5">
      <c r="A27" s="207">
        <v>15</v>
      </c>
      <c r="B27" s="205" t="s">
        <v>0</v>
      </c>
      <c r="C27" s="313">
        <f>'bieu 54'!C26</f>
        <v>4725.55</v>
      </c>
      <c r="D27" s="313">
        <f>'bieu 54'!D26</f>
        <v>500</v>
      </c>
      <c r="E27" s="313">
        <f>'bieu 54'!E26</f>
        <v>4225.55</v>
      </c>
      <c r="F27" s="315"/>
      <c r="G27" s="315"/>
      <c r="H27" s="317"/>
      <c r="I27" s="299">
        <f t="shared" si="2"/>
        <v>6287.8245</v>
      </c>
      <c r="J27" s="313">
        <f>'bieu 54'!H26</f>
        <v>2041.856</v>
      </c>
      <c r="K27" s="315"/>
      <c r="L27" s="315"/>
      <c r="M27" s="313">
        <f>'bieu 54'!I26</f>
        <v>4130.0345</v>
      </c>
      <c r="N27" s="315"/>
      <c r="O27" s="315"/>
      <c r="P27" s="313">
        <f t="shared" si="3"/>
        <v>115.934</v>
      </c>
      <c r="Q27" s="313">
        <f>'bieu 54'!M26</f>
        <v>0</v>
      </c>
      <c r="R27" s="313">
        <f>'bieu 54'!N26</f>
        <v>115.934</v>
      </c>
      <c r="S27" s="299">
        <f>'bieu 54'!O26</f>
        <v>14.066</v>
      </c>
      <c r="T27" s="204">
        <f t="shared" si="4"/>
        <v>133.06016230914918</v>
      </c>
      <c r="U27" s="204">
        <f t="shared" si="5"/>
        <v>408.37120000000004</v>
      </c>
      <c r="V27" s="204">
        <f t="shared" si="6"/>
        <v>97.73957236336098</v>
      </c>
      <c r="W27" s="65"/>
      <c r="X27" s="65"/>
    </row>
    <row r="28" spans="1:24" s="64" customFormat="1" ht="12.75">
      <c r="A28" s="207">
        <v>16</v>
      </c>
      <c r="B28" s="205" t="s">
        <v>296</v>
      </c>
      <c r="C28" s="313">
        <f>'bieu 54'!C27</f>
        <v>3694.4900000000007</v>
      </c>
      <c r="D28" s="313">
        <f>'bieu 54'!D27</f>
        <v>0</v>
      </c>
      <c r="E28" s="313">
        <f>'bieu 54'!E27</f>
        <v>3694.4900000000007</v>
      </c>
      <c r="F28" s="315"/>
      <c r="G28" s="315"/>
      <c r="H28" s="317"/>
      <c r="I28" s="299">
        <f t="shared" si="2"/>
        <v>3322.5632</v>
      </c>
      <c r="J28" s="313">
        <f>'bieu 54'!H27</f>
        <v>0</v>
      </c>
      <c r="K28" s="315"/>
      <c r="L28" s="315"/>
      <c r="M28" s="313">
        <f>'bieu 54'!I27</f>
        <v>3322.5632</v>
      </c>
      <c r="N28" s="315">
        <v>105.423</v>
      </c>
      <c r="O28" s="315"/>
      <c r="P28" s="313">
        <f t="shared" si="3"/>
        <v>0</v>
      </c>
      <c r="Q28" s="313">
        <f>'bieu 54'!M27</f>
        <v>0</v>
      </c>
      <c r="R28" s="313">
        <f>'bieu 54'!N27</f>
        <v>0</v>
      </c>
      <c r="S28" s="299">
        <f>'bieu 54'!O27</f>
        <v>36.3054</v>
      </c>
      <c r="T28" s="204">
        <f t="shared" si="4"/>
        <v>89.93293255632034</v>
      </c>
      <c r="U28" s="204" t="e">
        <f t="shared" si="5"/>
        <v>#DIV/0!</v>
      </c>
      <c r="V28" s="204">
        <f t="shared" si="6"/>
        <v>89.93293255632034</v>
      </c>
      <c r="W28" s="65"/>
      <c r="X28" s="65"/>
    </row>
    <row r="29" spans="1:24" s="64" customFormat="1" ht="12.75">
      <c r="A29" s="207">
        <v>17</v>
      </c>
      <c r="B29" s="205" t="s">
        <v>298</v>
      </c>
      <c r="C29" s="313">
        <f>'bieu 54'!C28</f>
        <v>741.95</v>
      </c>
      <c r="D29" s="313">
        <f>'bieu 54'!D28</f>
        <v>0</v>
      </c>
      <c r="E29" s="313">
        <f>'bieu 54'!E28</f>
        <v>741.95</v>
      </c>
      <c r="F29" s="315"/>
      <c r="G29" s="315"/>
      <c r="H29" s="317"/>
      <c r="I29" s="299">
        <f t="shared" si="2"/>
        <v>874.253</v>
      </c>
      <c r="J29" s="313">
        <f>'bieu 54'!H28</f>
        <v>0</v>
      </c>
      <c r="K29" s="315"/>
      <c r="L29" s="315"/>
      <c r="M29" s="313">
        <f>'bieu 54'!I28</f>
        <v>874.253</v>
      </c>
      <c r="N29" s="315"/>
      <c r="O29" s="315"/>
      <c r="P29" s="313">
        <f t="shared" si="3"/>
        <v>0</v>
      </c>
      <c r="Q29" s="313">
        <f>'bieu 54'!M28</f>
        <v>0</v>
      </c>
      <c r="R29" s="313">
        <f>'bieu 54'!N28</f>
        <v>0</v>
      </c>
      <c r="S29" s="299">
        <f>'bieu 54'!O28</f>
        <v>0</v>
      </c>
      <c r="T29" s="204">
        <f t="shared" si="4"/>
        <v>117.83179459532313</v>
      </c>
      <c r="U29" s="204" t="e">
        <f t="shared" si="5"/>
        <v>#DIV/0!</v>
      </c>
      <c r="V29" s="204">
        <f t="shared" si="6"/>
        <v>117.83179459532313</v>
      </c>
      <c r="W29" s="65"/>
      <c r="X29" s="65"/>
    </row>
    <row r="30" spans="1:24" s="64" customFormat="1" ht="12.75">
      <c r="A30" s="207">
        <v>18</v>
      </c>
      <c r="B30" s="205" t="s">
        <v>457</v>
      </c>
      <c r="C30" s="313">
        <f>'bieu 54'!C29</f>
        <v>165.91</v>
      </c>
      <c r="D30" s="313">
        <f>'bieu 54'!D29</f>
        <v>0</v>
      </c>
      <c r="E30" s="313">
        <f>'bieu 54'!E29</f>
        <v>165.91</v>
      </c>
      <c r="F30" s="315"/>
      <c r="G30" s="315"/>
      <c r="H30" s="317"/>
      <c r="I30" s="299">
        <f t="shared" si="2"/>
        <v>239.743</v>
      </c>
      <c r="J30" s="313">
        <f>'bieu 54'!H29</f>
        <v>0</v>
      </c>
      <c r="K30" s="315"/>
      <c r="L30" s="315"/>
      <c r="M30" s="313">
        <f>'bieu 54'!I29</f>
        <v>239.743</v>
      </c>
      <c r="N30" s="315"/>
      <c r="O30" s="315"/>
      <c r="P30" s="313">
        <f t="shared" si="3"/>
        <v>0</v>
      </c>
      <c r="Q30" s="313">
        <f>'bieu 54'!M29</f>
        <v>0</v>
      </c>
      <c r="R30" s="313">
        <f>'bieu 54'!N29</f>
        <v>0</v>
      </c>
      <c r="S30" s="299">
        <f>'bieu 54'!O29</f>
        <v>0</v>
      </c>
      <c r="T30" s="204">
        <f t="shared" si="4"/>
        <v>144.50183834609126</v>
      </c>
      <c r="U30" s="204" t="e">
        <f t="shared" si="5"/>
        <v>#DIV/0!</v>
      </c>
      <c r="V30" s="204">
        <f t="shared" si="6"/>
        <v>144.50183834609126</v>
      </c>
      <c r="W30" s="65"/>
      <c r="X30" s="65"/>
    </row>
    <row r="31" spans="1:24" s="64" customFormat="1" ht="12.75">
      <c r="A31" s="207">
        <v>19</v>
      </c>
      <c r="B31" s="205" t="s">
        <v>456</v>
      </c>
      <c r="C31" s="313">
        <f>'bieu 54'!C30</f>
        <v>92.96</v>
      </c>
      <c r="D31" s="313">
        <f>'bieu 54'!D30</f>
        <v>0</v>
      </c>
      <c r="E31" s="313">
        <f>'bieu 54'!E30</f>
        <v>92.96</v>
      </c>
      <c r="F31" s="315"/>
      <c r="G31" s="315"/>
      <c r="H31" s="317"/>
      <c r="I31" s="299">
        <f t="shared" si="2"/>
        <v>100.664</v>
      </c>
      <c r="J31" s="313">
        <f>'bieu 54'!H30</f>
        <v>0</v>
      </c>
      <c r="K31" s="315"/>
      <c r="L31" s="315"/>
      <c r="M31" s="313">
        <f>'bieu 54'!I30</f>
        <v>100.664</v>
      </c>
      <c r="N31" s="315"/>
      <c r="O31" s="315"/>
      <c r="P31" s="313">
        <f t="shared" si="3"/>
        <v>0</v>
      </c>
      <c r="Q31" s="313">
        <f>'bieu 54'!M30</f>
        <v>0</v>
      </c>
      <c r="R31" s="313">
        <f>'bieu 54'!N30</f>
        <v>0</v>
      </c>
      <c r="S31" s="299">
        <f>'bieu 54'!O30</f>
        <v>0</v>
      </c>
      <c r="T31" s="204">
        <f t="shared" si="4"/>
        <v>108.28743545611017</v>
      </c>
      <c r="U31" s="204" t="e">
        <f t="shared" si="5"/>
        <v>#DIV/0!</v>
      </c>
      <c r="V31" s="204">
        <f t="shared" si="6"/>
        <v>108.28743545611017</v>
      </c>
      <c r="W31" s="65"/>
      <c r="X31" s="65"/>
    </row>
    <row r="32" spans="1:24" s="64" customFormat="1" ht="12.75">
      <c r="A32" s="207">
        <v>20</v>
      </c>
      <c r="B32" s="205" t="s">
        <v>458</v>
      </c>
      <c r="C32" s="313">
        <f>'bieu 54'!C31</f>
        <v>93.64</v>
      </c>
      <c r="D32" s="313">
        <f>'bieu 54'!D31</f>
        <v>0</v>
      </c>
      <c r="E32" s="313">
        <f>'bieu 54'!E31</f>
        <v>93.64</v>
      </c>
      <c r="F32" s="315"/>
      <c r="G32" s="315"/>
      <c r="H32" s="317"/>
      <c r="I32" s="299">
        <f t="shared" si="2"/>
        <v>119.22</v>
      </c>
      <c r="J32" s="313">
        <f>'bieu 54'!H31</f>
        <v>0</v>
      </c>
      <c r="K32" s="315"/>
      <c r="L32" s="315"/>
      <c r="M32" s="313">
        <f>'bieu 54'!I31</f>
        <v>119.22</v>
      </c>
      <c r="N32" s="315"/>
      <c r="O32" s="315"/>
      <c r="P32" s="313">
        <f t="shared" si="3"/>
        <v>0</v>
      </c>
      <c r="Q32" s="313">
        <f>'bieu 54'!M31</f>
        <v>0</v>
      </c>
      <c r="R32" s="313">
        <f>'bieu 54'!N31</f>
        <v>0</v>
      </c>
      <c r="S32" s="299">
        <f>'bieu 54'!O31</f>
        <v>0</v>
      </c>
      <c r="T32" s="204">
        <f t="shared" si="4"/>
        <v>127.3173857325929</v>
      </c>
      <c r="U32" s="204" t="e">
        <f t="shared" si="5"/>
        <v>#DIV/0!</v>
      </c>
      <c r="V32" s="204">
        <f t="shared" si="6"/>
        <v>127.3173857325929</v>
      </c>
      <c r="W32" s="65"/>
      <c r="X32" s="65"/>
    </row>
    <row r="33" spans="1:24" s="64" customFormat="1" ht="25.5">
      <c r="A33" s="207">
        <v>21</v>
      </c>
      <c r="B33" s="205" t="s">
        <v>459</v>
      </c>
      <c r="C33" s="313">
        <f>'bieu 54'!C32</f>
        <v>40</v>
      </c>
      <c r="D33" s="313">
        <f>'bieu 54'!D32</f>
        <v>0</v>
      </c>
      <c r="E33" s="313">
        <f>'bieu 54'!E32</f>
        <v>40</v>
      </c>
      <c r="F33" s="315"/>
      <c r="G33" s="315"/>
      <c r="H33" s="317"/>
      <c r="I33" s="299">
        <f t="shared" si="2"/>
        <v>70.55</v>
      </c>
      <c r="J33" s="313">
        <f>'bieu 54'!H32</f>
        <v>0</v>
      </c>
      <c r="K33" s="315"/>
      <c r="L33" s="315"/>
      <c r="M33" s="313">
        <f>'bieu 54'!I32</f>
        <v>70.55</v>
      </c>
      <c r="N33" s="315"/>
      <c r="O33" s="315"/>
      <c r="P33" s="313">
        <f t="shared" si="3"/>
        <v>0</v>
      </c>
      <c r="Q33" s="313">
        <f>'bieu 54'!M32</f>
        <v>0</v>
      </c>
      <c r="R33" s="313">
        <f>'bieu 54'!N32</f>
        <v>0</v>
      </c>
      <c r="S33" s="299">
        <f>'bieu 54'!O32</f>
        <v>0</v>
      </c>
      <c r="T33" s="204">
        <f t="shared" si="4"/>
        <v>176.375</v>
      </c>
      <c r="U33" s="204" t="e">
        <f t="shared" si="5"/>
        <v>#DIV/0!</v>
      </c>
      <c r="V33" s="204">
        <f t="shared" si="6"/>
        <v>176.375</v>
      </c>
      <c r="W33" s="65"/>
      <c r="X33" s="65"/>
    </row>
    <row r="34" spans="1:24" s="64" customFormat="1" ht="25.5">
      <c r="A34" s="207">
        <v>22</v>
      </c>
      <c r="B34" s="205" t="s">
        <v>460</v>
      </c>
      <c r="C34" s="313">
        <f>'bieu 54'!C33</f>
        <v>83.64</v>
      </c>
      <c r="D34" s="313">
        <f>'bieu 54'!D33</f>
        <v>0</v>
      </c>
      <c r="E34" s="313">
        <f>'bieu 54'!E33</f>
        <v>83.64</v>
      </c>
      <c r="F34" s="315"/>
      <c r="G34" s="315"/>
      <c r="H34" s="317"/>
      <c r="I34" s="299">
        <f t="shared" si="2"/>
        <v>89.22</v>
      </c>
      <c r="J34" s="313">
        <f>'bieu 54'!H33</f>
        <v>0</v>
      </c>
      <c r="K34" s="315"/>
      <c r="L34" s="315"/>
      <c r="M34" s="313">
        <f>'bieu 54'!I33</f>
        <v>89.22</v>
      </c>
      <c r="N34" s="315"/>
      <c r="O34" s="315"/>
      <c r="P34" s="313">
        <f t="shared" si="3"/>
        <v>0</v>
      </c>
      <c r="Q34" s="313">
        <f>'bieu 54'!M33</f>
        <v>0</v>
      </c>
      <c r="R34" s="313">
        <f>'bieu 54'!N33</f>
        <v>0</v>
      </c>
      <c r="S34" s="299">
        <f>'bieu 54'!O33</f>
        <v>0</v>
      </c>
      <c r="T34" s="204">
        <f t="shared" si="4"/>
        <v>106.67144906743185</v>
      </c>
      <c r="U34" s="204" t="e">
        <f t="shared" si="5"/>
        <v>#DIV/0!</v>
      </c>
      <c r="V34" s="204">
        <f t="shared" si="6"/>
        <v>106.67144906743185</v>
      </c>
      <c r="W34" s="65"/>
      <c r="X34" s="65"/>
    </row>
    <row r="35" spans="1:24" s="64" customFormat="1" ht="12.75">
      <c r="A35" s="207">
        <v>23</v>
      </c>
      <c r="B35" s="205" t="s">
        <v>461</v>
      </c>
      <c r="C35" s="313">
        <f>'bieu 54'!C34</f>
        <v>200.43</v>
      </c>
      <c r="D35" s="313">
        <f>'bieu 54'!D34</f>
        <v>0</v>
      </c>
      <c r="E35" s="313">
        <f>'bieu 54'!E34</f>
        <v>200.43</v>
      </c>
      <c r="F35" s="315"/>
      <c r="G35" s="315"/>
      <c r="H35" s="317"/>
      <c r="I35" s="299">
        <f t="shared" si="2"/>
        <v>221.196</v>
      </c>
      <c r="J35" s="313">
        <f>'bieu 54'!H34</f>
        <v>0</v>
      </c>
      <c r="K35" s="315"/>
      <c r="L35" s="315"/>
      <c r="M35" s="313">
        <f>'bieu 54'!I34</f>
        <v>221.196</v>
      </c>
      <c r="N35" s="315"/>
      <c r="O35" s="315"/>
      <c r="P35" s="313">
        <f t="shared" si="3"/>
        <v>0</v>
      </c>
      <c r="Q35" s="313">
        <f>'bieu 54'!M34</f>
        <v>0</v>
      </c>
      <c r="R35" s="313">
        <f>'bieu 54'!N34</f>
        <v>0</v>
      </c>
      <c r="S35" s="299">
        <f>'bieu 54'!O34</f>
        <v>0</v>
      </c>
      <c r="T35" s="204">
        <f t="shared" si="4"/>
        <v>110.36072444244873</v>
      </c>
      <c r="U35" s="204" t="e">
        <f t="shared" si="5"/>
        <v>#DIV/0!</v>
      </c>
      <c r="V35" s="204">
        <f t="shared" si="6"/>
        <v>110.36072444244873</v>
      </c>
      <c r="W35" s="65"/>
      <c r="X35" s="65"/>
    </row>
    <row r="36" spans="1:24" s="64" customFormat="1" ht="25.5">
      <c r="A36" s="207">
        <v>24</v>
      </c>
      <c r="B36" s="205" t="s">
        <v>462</v>
      </c>
      <c r="C36" s="313">
        <f>'bieu 54'!C35</f>
        <v>81577.35</v>
      </c>
      <c r="D36" s="313">
        <f>'bieu 54'!D35</f>
        <v>11056</v>
      </c>
      <c r="E36" s="313">
        <f>'bieu 54'!E35</f>
        <v>23294.35</v>
      </c>
      <c r="F36" s="315"/>
      <c r="G36" s="315"/>
      <c r="H36" s="317"/>
      <c r="I36" s="299">
        <f t="shared" si="2"/>
        <v>164856.87579999998</v>
      </c>
      <c r="J36" s="313">
        <f>'bieu 54'!H35</f>
        <v>30405.539999999994</v>
      </c>
      <c r="K36" s="315">
        <f>61063.694-500-2401.7-13628.539-4500-15843.229-15244.843</f>
        <v>8945.383000000002</v>
      </c>
      <c r="L36" s="315"/>
      <c r="M36" s="313">
        <f>'bieu 54'!I35</f>
        <v>32475.374799999998</v>
      </c>
      <c r="N36" s="315"/>
      <c r="O36" s="315"/>
      <c r="P36" s="313">
        <f t="shared" si="3"/>
        <v>101975.961</v>
      </c>
      <c r="Q36" s="313">
        <f>'bieu 54'!M35</f>
        <v>101975.961</v>
      </c>
      <c r="R36" s="313">
        <f>'bieu 54'!N35</f>
        <v>0</v>
      </c>
      <c r="S36" s="299">
        <f>'bieu 54'!O35</f>
        <v>0</v>
      </c>
      <c r="T36" s="204">
        <f t="shared" si="4"/>
        <v>202.086578933981</v>
      </c>
      <c r="U36" s="204">
        <f t="shared" si="5"/>
        <v>275.0139290882778</v>
      </c>
      <c r="V36" s="204">
        <f t="shared" si="6"/>
        <v>139.41309716733886</v>
      </c>
      <c r="W36" s="65"/>
      <c r="X36" s="65"/>
    </row>
    <row r="37" spans="1:24" s="64" customFormat="1" ht="12.75">
      <c r="A37" s="207">
        <v>25</v>
      </c>
      <c r="B37" s="205" t="s">
        <v>453</v>
      </c>
      <c r="C37" s="313">
        <f>'bieu 54'!C36</f>
        <v>22705.2</v>
      </c>
      <c r="D37" s="313">
        <f>'bieu 54'!D36</f>
        <v>0</v>
      </c>
      <c r="E37" s="313">
        <f>'bieu 54'!E36</f>
        <v>21521.2</v>
      </c>
      <c r="F37" s="315"/>
      <c r="G37" s="315"/>
      <c r="H37" s="317"/>
      <c r="I37" s="299">
        <f t="shared" si="2"/>
        <v>29836.138860000003</v>
      </c>
      <c r="J37" s="313">
        <f>'bieu 54'!H36</f>
        <v>0</v>
      </c>
      <c r="K37" s="315"/>
      <c r="L37" s="315"/>
      <c r="M37" s="313">
        <f>'bieu 54'!I36</f>
        <v>28766.4504</v>
      </c>
      <c r="N37" s="315"/>
      <c r="O37" s="315"/>
      <c r="P37" s="313">
        <f t="shared" si="3"/>
        <v>1069.6884599999998</v>
      </c>
      <c r="Q37" s="313">
        <f>'bieu 54'!M36</f>
        <v>0</v>
      </c>
      <c r="R37" s="313">
        <f>'bieu 54'!N36</f>
        <v>1069.6884599999998</v>
      </c>
      <c r="S37" s="299">
        <f>'bieu 54'!O36</f>
        <v>4196.714140000001</v>
      </c>
      <c r="T37" s="204">
        <f t="shared" si="4"/>
        <v>131.40663310607263</v>
      </c>
      <c r="U37" s="204" t="e">
        <f t="shared" si="5"/>
        <v>#DIV/0!</v>
      </c>
      <c r="V37" s="204">
        <f t="shared" si="6"/>
        <v>133.66564317974834</v>
      </c>
      <c r="W37" s="65"/>
      <c r="X37" s="65"/>
    </row>
    <row r="38" spans="1:24" s="64" customFormat="1" ht="25.5">
      <c r="A38" s="207">
        <v>26</v>
      </c>
      <c r="B38" s="205" t="s">
        <v>454</v>
      </c>
      <c r="C38" s="313">
        <f>'bieu 54'!C37</f>
        <v>600.33</v>
      </c>
      <c r="D38" s="313">
        <f>'bieu 54'!D37</f>
        <v>0</v>
      </c>
      <c r="E38" s="313">
        <f>'bieu 54'!E37</f>
        <v>600.33</v>
      </c>
      <c r="F38" s="315"/>
      <c r="G38" s="315"/>
      <c r="H38" s="317"/>
      <c r="I38" s="299">
        <f t="shared" si="2"/>
        <v>832.162311</v>
      </c>
      <c r="J38" s="313">
        <f>'bieu 54'!H37</f>
        <v>0</v>
      </c>
      <c r="K38" s="315"/>
      <c r="L38" s="315"/>
      <c r="M38" s="313">
        <f>'bieu 54'!I37</f>
        <v>832.162311</v>
      </c>
      <c r="N38" s="315"/>
      <c r="O38" s="315"/>
      <c r="P38" s="313">
        <f t="shared" si="3"/>
        <v>0</v>
      </c>
      <c r="Q38" s="313">
        <f>'bieu 54'!M37</f>
        <v>0</v>
      </c>
      <c r="R38" s="313">
        <f>'bieu 54'!N37</f>
        <v>0</v>
      </c>
      <c r="S38" s="299">
        <f>'bieu 54'!O37</f>
        <v>0.885689</v>
      </c>
      <c r="T38" s="204">
        <f t="shared" si="4"/>
        <v>138.61747888661236</v>
      </c>
      <c r="U38" s="204" t="e">
        <f t="shared" si="5"/>
        <v>#DIV/0!</v>
      </c>
      <c r="V38" s="204">
        <f t="shared" si="6"/>
        <v>138.61747888661236</v>
      </c>
      <c r="W38" s="65"/>
      <c r="X38" s="65"/>
    </row>
    <row r="39" spans="1:24" s="64" customFormat="1" ht="25.5">
      <c r="A39" s="207">
        <v>27</v>
      </c>
      <c r="B39" s="205" t="s">
        <v>501</v>
      </c>
      <c r="C39" s="313">
        <f>'bieu 54'!C38</f>
        <v>681.01</v>
      </c>
      <c r="D39" s="313">
        <f>'bieu 54'!D38</f>
        <v>0</v>
      </c>
      <c r="E39" s="313">
        <f>'bieu 54'!E38</f>
        <v>681.01</v>
      </c>
      <c r="F39" s="315"/>
      <c r="G39" s="315"/>
      <c r="H39" s="317"/>
      <c r="I39" s="299">
        <f t="shared" si="2"/>
        <v>979.036</v>
      </c>
      <c r="J39" s="313">
        <f>'bieu 54'!H38</f>
        <v>0</v>
      </c>
      <c r="K39" s="315"/>
      <c r="L39" s="315"/>
      <c r="M39" s="313">
        <f>'bieu 54'!I38</f>
        <v>979.036</v>
      </c>
      <c r="N39" s="315"/>
      <c r="O39" s="315"/>
      <c r="P39" s="313">
        <f t="shared" si="3"/>
        <v>0</v>
      </c>
      <c r="Q39" s="313">
        <f>'bieu 54'!M38</f>
        <v>0</v>
      </c>
      <c r="R39" s="313">
        <f>'bieu 54'!N38</f>
        <v>0</v>
      </c>
      <c r="S39" s="299">
        <f>'bieu 54'!O38</f>
        <v>0</v>
      </c>
      <c r="T39" s="204">
        <f t="shared" si="4"/>
        <v>143.76235297572723</v>
      </c>
      <c r="U39" s="204" t="e">
        <f t="shared" si="5"/>
        <v>#DIV/0!</v>
      </c>
      <c r="V39" s="204">
        <f t="shared" si="6"/>
        <v>143.76235297572723</v>
      </c>
      <c r="W39" s="65"/>
      <c r="X39" s="65"/>
    </row>
    <row r="40" spans="1:24" s="64" customFormat="1" ht="25.5">
      <c r="A40" s="207">
        <v>28</v>
      </c>
      <c r="B40" s="205" t="s">
        <v>455</v>
      </c>
      <c r="C40" s="313">
        <f>'bieu 54'!C39</f>
        <v>12649.43</v>
      </c>
      <c r="D40" s="313">
        <f>'bieu 54'!D39</f>
        <v>0</v>
      </c>
      <c r="E40" s="313">
        <f>'bieu 54'!E39</f>
        <v>2438.43</v>
      </c>
      <c r="F40" s="315">
        <v>2438.43</v>
      </c>
      <c r="G40" s="315"/>
      <c r="H40" s="317"/>
      <c r="I40" s="299">
        <f t="shared" si="2"/>
        <v>4260.436066</v>
      </c>
      <c r="J40" s="313">
        <f>'bieu 54'!H39</f>
        <v>0</v>
      </c>
      <c r="K40" s="315"/>
      <c r="L40" s="315"/>
      <c r="M40" s="313">
        <f>'bieu 54'!I39</f>
        <v>2668.8520660000004</v>
      </c>
      <c r="N40" s="315">
        <f>4260.436-315.997-1275.587</f>
        <v>2668.852</v>
      </c>
      <c r="O40" s="315"/>
      <c r="P40" s="313">
        <f t="shared" si="3"/>
        <v>1591.584</v>
      </c>
      <c r="Q40" s="313">
        <f>'bieu 54'!M39</f>
        <v>0</v>
      </c>
      <c r="R40" s="313">
        <f>'bieu 54'!N39</f>
        <v>1591.584</v>
      </c>
      <c r="S40" s="299">
        <f>'bieu 54'!O39</f>
        <v>12011.000733999997</v>
      </c>
      <c r="T40" s="204">
        <f t="shared" si="4"/>
        <v>33.680854125442806</v>
      </c>
      <c r="U40" s="204" t="e">
        <f t="shared" si="5"/>
        <v>#DIV/0!</v>
      </c>
      <c r="V40" s="204">
        <f t="shared" si="6"/>
        <v>109.44960757536614</v>
      </c>
      <c r="W40" s="65"/>
      <c r="X40" s="65"/>
    </row>
    <row r="41" spans="1:24" s="64" customFormat="1" ht="25.5">
      <c r="A41" s="207">
        <v>29</v>
      </c>
      <c r="B41" s="205" t="s">
        <v>466</v>
      </c>
      <c r="C41" s="313">
        <f>'bieu 54'!C40</f>
        <v>3347.97</v>
      </c>
      <c r="D41" s="313">
        <f>'bieu 54'!D40</f>
        <v>0</v>
      </c>
      <c r="E41" s="313">
        <f>'bieu 54'!E40</f>
        <v>3347.97</v>
      </c>
      <c r="F41" s="315"/>
      <c r="G41" s="315"/>
      <c r="H41" s="317"/>
      <c r="I41" s="299">
        <f t="shared" si="2"/>
        <v>3891.5089000000003</v>
      </c>
      <c r="J41" s="313">
        <f>'bieu 54'!H40</f>
        <v>0</v>
      </c>
      <c r="K41" s="315"/>
      <c r="L41" s="315"/>
      <c r="M41" s="313">
        <f>'bieu 54'!I40</f>
        <v>3778.3969</v>
      </c>
      <c r="N41" s="315"/>
      <c r="O41" s="315"/>
      <c r="P41" s="313">
        <f t="shared" si="3"/>
        <v>113.112</v>
      </c>
      <c r="Q41" s="313">
        <f>'bieu 54'!M40</f>
        <v>0</v>
      </c>
      <c r="R41" s="313">
        <f>'bieu 54'!N40</f>
        <v>113.112</v>
      </c>
      <c r="S41" s="299">
        <f>'bieu 54'!O40</f>
        <v>13.705</v>
      </c>
      <c r="T41" s="204">
        <f t="shared" si="4"/>
        <v>116.23487964348547</v>
      </c>
      <c r="U41" s="204" t="e">
        <f t="shared" si="5"/>
        <v>#DIV/0!</v>
      </c>
      <c r="V41" s="204">
        <f t="shared" si="6"/>
        <v>112.85635474630897</v>
      </c>
      <c r="W41" s="65"/>
      <c r="X41" s="65"/>
    </row>
    <row r="42" spans="1:24" s="64" customFormat="1" ht="25.5">
      <c r="A42" s="207">
        <v>30</v>
      </c>
      <c r="B42" s="205" t="s">
        <v>467</v>
      </c>
      <c r="C42" s="313">
        <f>'bieu 54'!C41</f>
        <v>2107.65</v>
      </c>
      <c r="D42" s="313">
        <f>'bieu 54'!D41</f>
        <v>0</v>
      </c>
      <c r="E42" s="313">
        <f>'bieu 54'!E41</f>
        <v>2107.65</v>
      </c>
      <c r="F42" s="315"/>
      <c r="G42" s="315"/>
      <c r="H42" s="317"/>
      <c r="I42" s="299">
        <f t="shared" si="2"/>
        <v>2377.6519999999996</v>
      </c>
      <c r="J42" s="313">
        <f>'bieu 54'!H41</f>
        <v>0</v>
      </c>
      <c r="K42" s="315"/>
      <c r="L42" s="315"/>
      <c r="M42" s="313">
        <f>'bieu 54'!I41</f>
        <v>2377.6519999999996</v>
      </c>
      <c r="N42" s="315"/>
      <c r="O42" s="315"/>
      <c r="P42" s="313">
        <f t="shared" si="3"/>
        <v>0</v>
      </c>
      <c r="Q42" s="313">
        <f>'bieu 54'!M41</f>
        <v>0</v>
      </c>
      <c r="R42" s="313">
        <f>'bieu 54'!N41</f>
        <v>0</v>
      </c>
      <c r="S42" s="299">
        <f>'bieu 54'!O41</f>
        <v>0</v>
      </c>
      <c r="T42" s="204">
        <f t="shared" si="4"/>
        <v>112.81057101511158</v>
      </c>
      <c r="U42" s="204" t="e">
        <f t="shared" si="5"/>
        <v>#DIV/0!</v>
      </c>
      <c r="V42" s="204">
        <f t="shared" si="6"/>
        <v>112.81057101511158</v>
      </c>
      <c r="W42" s="65"/>
      <c r="X42" s="65"/>
    </row>
    <row r="43" spans="1:24" s="64" customFormat="1" ht="25.5">
      <c r="A43" s="207">
        <v>31</v>
      </c>
      <c r="B43" s="205" t="s">
        <v>588</v>
      </c>
      <c r="C43" s="313">
        <f>'bieu 54'!C42</f>
        <v>6568.31</v>
      </c>
      <c r="D43" s="313">
        <f>'bieu 54'!D42</f>
        <v>0</v>
      </c>
      <c r="E43" s="313">
        <f>'bieu 54'!E42</f>
        <v>6568.31</v>
      </c>
      <c r="F43" s="315">
        <f>E43</f>
        <v>6568.31</v>
      </c>
      <c r="G43" s="315"/>
      <c r="H43" s="317"/>
      <c r="I43" s="299">
        <f t="shared" si="2"/>
        <v>7348.5874</v>
      </c>
      <c r="J43" s="313">
        <f>'bieu 54'!H42</f>
        <v>0</v>
      </c>
      <c r="K43" s="315"/>
      <c r="L43" s="315"/>
      <c r="M43" s="313">
        <f>'bieu 54'!I42</f>
        <v>7348.5874</v>
      </c>
      <c r="N43" s="315">
        <f>M43</f>
        <v>7348.5874</v>
      </c>
      <c r="O43" s="315"/>
      <c r="P43" s="313">
        <f t="shared" si="3"/>
        <v>0</v>
      </c>
      <c r="Q43" s="313">
        <f>'bieu 54'!M42</f>
        <v>0</v>
      </c>
      <c r="R43" s="313">
        <f>'bieu 54'!N42</f>
        <v>0</v>
      </c>
      <c r="S43" s="299">
        <f>'bieu 54'!O42</f>
        <v>1.2226</v>
      </c>
      <c r="T43" s="204">
        <f t="shared" si="4"/>
        <v>111.87942408321166</v>
      </c>
      <c r="U43" s="204" t="e">
        <f t="shared" si="5"/>
        <v>#DIV/0!</v>
      </c>
      <c r="V43" s="204">
        <f t="shared" si="6"/>
        <v>111.87942408321166</v>
      </c>
      <c r="W43" s="65"/>
      <c r="X43" s="65"/>
    </row>
    <row r="44" spans="1:24" s="64" customFormat="1" ht="25.5">
      <c r="A44" s="207">
        <v>32</v>
      </c>
      <c r="B44" s="205" t="s">
        <v>589</v>
      </c>
      <c r="C44" s="313">
        <f>'bieu 54'!C43</f>
        <v>5440.25</v>
      </c>
      <c r="D44" s="313">
        <f>'bieu 54'!D43</f>
        <v>0</v>
      </c>
      <c r="E44" s="313">
        <f>'bieu 54'!E43</f>
        <v>5440.25</v>
      </c>
      <c r="F44" s="315">
        <f aca="true" t="shared" si="7" ref="F44:F97">E44</f>
        <v>5440.25</v>
      </c>
      <c r="G44" s="315"/>
      <c r="H44" s="317"/>
      <c r="I44" s="299">
        <f t="shared" si="2"/>
        <v>5665.905076</v>
      </c>
      <c r="J44" s="313">
        <f>'bieu 54'!H43</f>
        <v>0</v>
      </c>
      <c r="K44" s="315"/>
      <c r="L44" s="315"/>
      <c r="M44" s="313">
        <f>'bieu 54'!I43</f>
        <v>5665.905076</v>
      </c>
      <c r="N44" s="315">
        <f aca="true" t="shared" si="8" ref="N44:N97">M44</f>
        <v>5665.905076</v>
      </c>
      <c r="O44" s="315"/>
      <c r="P44" s="313">
        <f t="shared" si="3"/>
        <v>0</v>
      </c>
      <c r="Q44" s="313">
        <f>'bieu 54'!M43</f>
        <v>0</v>
      </c>
      <c r="R44" s="313">
        <f>'bieu 54'!N43</f>
        <v>0</v>
      </c>
      <c r="S44" s="299">
        <f>'bieu 54'!O43</f>
        <v>46.632</v>
      </c>
      <c r="T44" s="204">
        <f t="shared" si="4"/>
        <v>104.14788063048573</v>
      </c>
      <c r="U44" s="204" t="e">
        <f t="shared" si="5"/>
        <v>#DIV/0!</v>
      </c>
      <c r="V44" s="204">
        <f t="shared" si="6"/>
        <v>104.14788063048573</v>
      </c>
      <c r="W44" s="65"/>
      <c r="X44" s="65"/>
    </row>
    <row r="45" spans="1:24" s="64" customFormat="1" ht="25.5">
      <c r="A45" s="207">
        <v>33</v>
      </c>
      <c r="B45" s="205" t="s">
        <v>590</v>
      </c>
      <c r="C45" s="313">
        <f>'bieu 54'!C44</f>
        <v>4669.59</v>
      </c>
      <c r="D45" s="313">
        <f>'bieu 54'!D44</f>
        <v>0</v>
      </c>
      <c r="E45" s="313">
        <f>'bieu 54'!E44</f>
        <v>4669.59</v>
      </c>
      <c r="F45" s="315">
        <f t="shared" si="7"/>
        <v>4669.59</v>
      </c>
      <c r="G45" s="315"/>
      <c r="H45" s="317"/>
      <c r="I45" s="299">
        <f t="shared" si="2"/>
        <v>5108.7518</v>
      </c>
      <c r="J45" s="313">
        <f>'bieu 54'!H44</f>
        <v>0</v>
      </c>
      <c r="K45" s="315"/>
      <c r="L45" s="315"/>
      <c r="M45" s="313">
        <f>'bieu 54'!I44</f>
        <v>5108.7518</v>
      </c>
      <c r="N45" s="315">
        <f t="shared" si="8"/>
        <v>5108.7518</v>
      </c>
      <c r="O45" s="315"/>
      <c r="P45" s="313">
        <f t="shared" si="3"/>
        <v>0</v>
      </c>
      <c r="Q45" s="313">
        <f>'bieu 54'!M44</f>
        <v>0</v>
      </c>
      <c r="R45" s="313">
        <f>'bieu 54'!N44</f>
        <v>0</v>
      </c>
      <c r="S45" s="299">
        <f>'bieu 54'!O44</f>
        <v>0</v>
      </c>
      <c r="T45" s="204">
        <f t="shared" si="4"/>
        <v>109.40471861555297</v>
      </c>
      <c r="U45" s="204" t="e">
        <f t="shared" si="5"/>
        <v>#DIV/0!</v>
      </c>
      <c r="V45" s="204">
        <f t="shared" si="6"/>
        <v>109.40471861555297</v>
      </c>
      <c r="W45" s="65"/>
      <c r="X45" s="65"/>
    </row>
    <row r="46" spans="1:24" s="64" customFormat="1" ht="25.5">
      <c r="A46" s="207">
        <v>34</v>
      </c>
      <c r="B46" s="205" t="s">
        <v>591</v>
      </c>
      <c r="C46" s="313">
        <f>'bieu 54'!C45</f>
        <v>4428.01</v>
      </c>
      <c r="D46" s="313">
        <f>'bieu 54'!D45</f>
        <v>0</v>
      </c>
      <c r="E46" s="313">
        <f>'bieu 54'!E45</f>
        <v>4428.01</v>
      </c>
      <c r="F46" s="315">
        <f t="shared" si="7"/>
        <v>4428.01</v>
      </c>
      <c r="G46" s="315"/>
      <c r="H46" s="317"/>
      <c r="I46" s="299">
        <f t="shared" si="2"/>
        <v>5142.9682</v>
      </c>
      <c r="J46" s="313">
        <f>'bieu 54'!H45</f>
        <v>0</v>
      </c>
      <c r="K46" s="315"/>
      <c r="L46" s="315"/>
      <c r="M46" s="313">
        <f>'bieu 54'!I45</f>
        <v>5142.9682</v>
      </c>
      <c r="N46" s="315">
        <f t="shared" si="8"/>
        <v>5142.9682</v>
      </c>
      <c r="O46" s="315"/>
      <c r="P46" s="313">
        <f t="shared" si="3"/>
        <v>0</v>
      </c>
      <c r="Q46" s="313">
        <f>'bieu 54'!M45</f>
        <v>0</v>
      </c>
      <c r="R46" s="313">
        <f>'bieu 54'!N45</f>
        <v>0</v>
      </c>
      <c r="S46" s="299">
        <f>'bieu 54'!O45</f>
        <v>0</v>
      </c>
      <c r="T46" s="204">
        <f t="shared" si="4"/>
        <v>116.14626434899651</v>
      </c>
      <c r="U46" s="204" t="e">
        <f t="shared" si="5"/>
        <v>#DIV/0!</v>
      </c>
      <c r="V46" s="204">
        <f t="shared" si="6"/>
        <v>116.14626434899651</v>
      </c>
      <c r="W46" s="65"/>
      <c r="X46" s="65"/>
    </row>
    <row r="47" spans="1:24" s="64" customFormat="1" ht="25.5">
      <c r="A47" s="207">
        <v>35</v>
      </c>
      <c r="B47" s="205" t="s">
        <v>592</v>
      </c>
      <c r="C47" s="313">
        <f>'bieu 54'!C46</f>
        <v>6132.125</v>
      </c>
      <c r="D47" s="313">
        <f>'bieu 54'!D46</f>
        <v>0</v>
      </c>
      <c r="E47" s="313">
        <f>'bieu 54'!E46</f>
        <v>6132.125</v>
      </c>
      <c r="F47" s="315">
        <f t="shared" si="7"/>
        <v>6132.125</v>
      </c>
      <c r="G47" s="315"/>
      <c r="H47" s="317"/>
      <c r="I47" s="299">
        <f t="shared" si="2"/>
        <v>6527.3514</v>
      </c>
      <c r="J47" s="313">
        <f>'bieu 54'!H46</f>
        <v>0</v>
      </c>
      <c r="K47" s="315"/>
      <c r="L47" s="315"/>
      <c r="M47" s="313">
        <f>'bieu 54'!I46</f>
        <v>6527.3514</v>
      </c>
      <c r="N47" s="315">
        <f t="shared" si="8"/>
        <v>6527.3514</v>
      </c>
      <c r="O47" s="315"/>
      <c r="P47" s="313">
        <f t="shared" si="3"/>
        <v>0</v>
      </c>
      <c r="Q47" s="313">
        <f>'bieu 54'!M46</f>
        <v>0</v>
      </c>
      <c r="R47" s="313">
        <f>'bieu 54'!N46</f>
        <v>0</v>
      </c>
      <c r="S47" s="299">
        <f>'bieu 54'!O46</f>
        <v>0</v>
      </c>
      <c r="T47" s="204">
        <f t="shared" si="4"/>
        <v>106.44517846586623</v>
      </c>
      <c r="U47" s="204" t="e">
        <f t="shared" si="5"/>
        <v>#DIV/0!</v>
      </c>
      <c r="V47" s="204">
        <f t="shared" si="6"/>
        <v>106.44517846586623</v>
      </c>
      <c r="W47" s="65"/>
      <c r="X47" s="65"/>
    </row>
    <row r="48" spans="1:24" s="64" customFormat="1" ht="25.5">
      <c r="A48" s="207">
        <v>36</v>
      </c>
      <c r="B48" s="205" t="s">
        <v>593</v>
      </c>
      <c r="C48" s="313">
        <f>'bieu 54'!C47</f>
        <v>2778.685</v>
      </c>
      <c r="D48" s="313">
        <f>'bieu 54'!D47</f>
        <v>0</v>
      </c>
      <c r="E48" s="313">
        <f>'bieu 54'!E47</f>
        <v>2778.685</v>
      </c>
      <c r="F48" s="315">
        <f t="shared" si="7"/>
        <v>2778.685</v>
      </c>
      <c r="G48" s="315"/>
      <c r="H48" s="317"/>
      <c r="I48" s="299">
        <f t="shared" si="2"/>
        <v>3368.1931</v>
      </c>
      <c r="J48" s="313">
        <f>'bieu 54'!H47</f>
        <v>0</v>
      </c>
      <c r="K48" s="315"/>
      <c r="L48" s="315"/>
      <c r="M48" s="313">
        <f>'bieu 54'!I47</f>
        <v>3368.1931</v>
      </c>
      <c r="N48" s="315">
        <f t="shared" si="8"/>
        <v>3368.1931</v>
      </c>
      <c r="O48" s="315"/>
      <c r="P48" s="313">
        <f t="shared" si="3"/>
        <v>0</v>
      </c>
      <c r="Q48" s="313">
        <f>'bieu 54'!M47</f>
        <v>0</v>
      </c>
      <c r="R48" s="313">
        <f>'bieu 54'!N47</f>
        <v>0</v>
      </c>
      <c r="S48" s="299">
        <f>'bieu 54'!O47</f>
        <v>0</v>
      </c>
      <c r="T48" s="204">
        <f t="shared" si="4"/>
        <v>121.21536266255441</v>
      </c>
      <c r="U48" s="204" t="e">
        <f t="shared" si="5"/>
        <v>#DIV/0!</v>
      </c>
      <c r="V48" s="204">
        <f t="shared" si="6"/>
        <v>121.21536266255441</v>
      </c>
      <c r="W48" s="65"/>
      <c r="X48" s="65"/>
    </row>
    <row r="49" spans="1:24" s="64" customFormat="1" ht="25.5">
      <c r="A49" s="207">
        <v>37</v>
      </c>
      <c r="B49" s="205" t="s">
        <v>594</v>
      </c>
      <c r="C49" s="313">
        <f>'bieu 54'!C48</f>
        <v>5133.515</v>
      </c>
      <c r="D49" s="313">
        <f>'bieu 54'!D48</f>
        <v>0</v>
      </c>
      <c r="E49" s="313">
        <f>'bieu 54'!E48</f>
        <v>5133.515</v>
      </c>
      <c r="F49" s="315">
        <f t="shared" si="7"/>
        <v>5133.515</v>
      </c>
      <c r="G49" s="315"/>
      <c r="H49" s="317"/>
      <c r="I49" s="299">
        <f t="shared" si="2"/>
        <v>5552.2682</v>
      </c>
      <c r="J49" s="313">
        <f>'bieu 54'!H48</f>
        <v>0</v>
      </c>
      <c r="K49" s="315"/>
      <c r="L49" s="315"/>
      <c r="M49" s="313">
        <f>'bieu 54'!I48</f>
        <v>5552.2682</v>
      </c>
      <c r="N49" s="315">
        <f t="shared" si="8"/>
        <v>5552.2682</v>
      </c>
      <c r="O49" s="315"/>
      <c r="P49" s="313">
        <f t="shared" si="3"/>
        <v>0</v>
      </c>
      <c r="Q49" s="313">
        <f>'bieu 54'!M48</f>
        <v>0</v>
      </c>
      <c r="R49" s="313">
        <f>'bieu 54'!N48</f>
        <v>0</v>
      </c>
      <c r="S49" s="299">
        <f>'bieu 54'!O48</f>
        <v>5.4733</v>
      </c>
      <c r="T49" s="204">
        <f t="shared" si="4"/>
        <v>108.15724118854236</v>
      </c>
      <c r="U49" s="204" t="e">
        <f t="shared" si="5"/>
        <v>#DIV/0!</v>
      </c>
      <c r="V49" s="204">
        <f t="shared" si="6"/>
        <v>108.15724118854236</v>
      </c>
      <c r="W49" s="65"/>
      <c r="X49" s="65"/>
    </row>
    <row r="50" spans="1:24" s="64" customFormat="1" ht="25.5">
      <c r="A50" s="207">
        <v>38</v>
      </c>
      <c r="B50" s="205" t="s">
        <v>601</v>
      </c>
      <c r="C50" s="313">
        <f>'bieu 54'!C49</f>
        <v>4229.515</v>
      </c>
      <c r="D50" s="313">
        <f>'bieu 54'!D49</f>
        <v>0</v>
      </c>
      <c r="E50" s="313">
        <f>'bieu 54'!E49</f>
        <v>4229.515</v>
      </c>
      <c r="F50" s="315">
        <f t="shared" si="7"/>
        <v>4229.515</v>
      </c>
      <c r="G50" s="315"/>
      <c r="H50" s="317"/>
      <c r="I50" s="299">
        <f t="shared" si="2"/>
        <v>4588.576</v>
      </c>
      <c r="J50" s="313">
        <f>'bieu 54'!H49</f>
        <v>0</v>
      </c>
      <c r="K50" s="315"/>
      <c r="L50" s="315"/>
      <c r="M50" s="313">
        <f>'bieu 54'!I49</f>
        <v>4588.576</v>
      </c>
      <c r="N50" s="315">
        <f t="shared" si="8"/>
        <v>4588.576</v>
      </c>
      <c r="O50" s="315"/>
      <c r="P50" s="313">
        <f t="shared" si="3"/>
        <v>0</v>
      </c>
      <c r="Q50" s="313">
        <f>'bieu 54'!M49</f>
        <v>0</v>
      </c>
      <c r="R50" s="313">
        <f>'bieu 54'!N49</f>
        <v>0</v>
      </c>
      <c r="S50" s="299">
        <f>'bieu 54'!O49</f>
        <v>0</v>
      </c>
      <c r="T50" s="204">
        <f t="shared" si="4"/>
        <v>108.48941308873475</v>
      </c>
      <c r="U50" s="204" t="e">
        <f t="shared" si="5"/>
        <v>#DIV/0!</v>
      </c>
      <c r="V50" s="204">
        <f t="shared" si="6"/>
        <v>108.48941308873475</v>
      </c>
      <c r="W50" s="65"/>
      <c r="X50" s="65"/>
    </row>
    <row r="51" spans="1:24" s="64" customFormat="1" ht="25.5">
      <c r="A51" s="207">
        <v>39</v>
      </c>
      <c r="B51" s="205" t="s">
        <v>595</v>
      </c>
      <c r="C51" s="313">
        <f>'bieu 54'!C50</f>
        <v>4252.25</v>
      </c>
      <c r="D51" s="313">
        <f>'bieu 54'!D50</f>
        <v>0</v>
      </c>
      <c r="E51" s="313">
        <f>'bieu 54'!E50</f>
        <v>4252.25</v>
      </c>
      <c r="F51" s="315">
        <f t="shared" si="7"/>
        <v>4252.25</v>
      </c>
      <c r="G51" s="315"/>
      <c r="H51" s="317"/>
      <c r="I51" s="299">
        <f t="shared" si="2"/>
        <v>4600.77036</v>
      </c>
      <c r="J51" s="313">
        <f>'bieu 54'!H50</f>
        <v>0</v>
      </c>
      <c r="K51" s="315"/>
      <c r="L51" s="315"/>
      <c r="M51" s="313">
        <f>'bieu 54'!I50</f>
        <v>4600.77036</v>
      </c>
      <c r="N51" s="315">
        <f t="shared" si="8"/>
        <v>4600.77036</v>
      </c>
      <c r="O51" s="315"/>
      <c r="P51" s="313">
        <f t="shared" si="3"/>
        <v>0</v>
      </c>
      <c r="Q51" s="313">
        <f>'bieu 54'!M50</f>
        <v>0</v>
      </c>
      <c r="R51" s="313">
        <f>'bieu 54'!N50</f>
        <v>0</v>
      </c>
      <c r="S51" s="299">
        <f>'bieu 54'!O50</f>
        <v>0</v>
      </c>
      <c r="T51" s="204">
        <f t="shared" si="4"/>
        <v>108.19613992592159</v>
      </c>
      <c r="U51" s="204" t="e">
        <f t="shared" si="5"/>
        <v>#DIV/0!</v>
      </c>
      <c r="V51" s="204">
        <f t="shared" si="6"/>
        <v>108.19613992592159</v>
      </c>
      <c r="W51" s="65"/>
      <c r="X51" s="65"/>
    </row>
    <row r="52" spans="1:24" s="64" customFormat="1" ht="25.5">
      <c r="A52" s="207">
        <v>40</v>
      </c>
      <c r="B52" s="205" t="s">
        <v>596</v>
      </c>
      <c r="C52" s="313">
        <f>'bieu 54'!C51</f>
        <v>7283.1</v>
      </c>
      <c r="D52" s="313">
        <f>'bieu 54'!D51</f>
        <v>0</v>
      </c>
      <c r="E52" s="313">
        <f>'bieu 54'!E51</f>
        <v>7283.1</v>
      </c>
      <c r="F52" s="315">
        <f t="shared" si="7"/>
        <v>7283.1</v>
      </c>
      <c r="G52" s="315"/>
      <c r="H52" s="317"/>
      <c r="I52" s="299">
        <f t="shared" si="2"/>
        <v>7897.030908</v>
      </c>
      <c r="J52" s="313">
        <f>'bieu 54'!H51</f>
        <v>0</v>
      </c>
      <c r="K52" s="315"/>
      <c r="L52" s="315"/>
      <c r="M52" s="313">
        <f>'bieu 54'!I51</f>
        <v>7897.030908</v>
      </c>
      <c r="N52" s="315">
        <f t="shared" si="8"/>
        <v>7897.030908</v>
      </c>
      <c r="O52" s="315"/>
      <c r="P52" s="313">
        <f t="shared" si="3"/>
        <v>0</v>
      </c>
      <c r="Q52" s="313">
        <f>'bieu 54'!M51</f>
        <v>0</v>
      </c>
      <c r="R52" s="313">
        <f>'bieu 54'!N51</f>
        <v>0</v>
      </c>
      <c r="S52" s="299">
        <f>'bieu 54'!O51</f>
        <v>89.780692</v>
      </c>
      <c r="T52" s="204">
        <f t="shared" si="4"/>
        <v>108.42952737158626</v>
      </c>
      <c r="U52" s="204" t="e">
        <f t="shared" si="5"/>
        <v>#DIV/0!</v>
      </c>
      <c r="V52" s="204">
        <f t="shared" si="6"/>
        <v>108.42952737158626</v>
      </c>
      <c r="W52" s="65"/>
      <c r="X52" s="65"/>
    </row>
    <row r="53" spans="1:24" s="64" customFormat="1" ht="25.5">
      <c r="A53" s="207">
        <v>41</v>
      </c>
      <c r="B53" s="205" t="s">
        <v>597</v>
      </c>
      <c r="C53" s="313">
        <f>'bieu 54'!C52</f>
        <v>3072.68</v>
      </c>
      <c r="D53" s="313">
        <f>'bieu 54'!D52</f>
        <v>0</v>
      </c>
      <c r="E53" s="313">
        <f>'bieu 54'!E52</f>
        <v>3072.68</v>
      </c>
      <c r="F53" s="315">
        <f t="shared" si="7"/>
        <v>3072.68</v>
      </c>
      <c r="G53" s="315"/>
      <c r="H53" s="317"/>
      <c r="I53" s="299">
        <f t="shared" si="2"/>
        <v>3406.14</v>
      </c>
      <c r="J53" s="313">
        <f>'bieu 54'!H52</f>
        <v>0</v>
      </c>
      <c r="K53" s="315"/>
      <c r="L53" s="315"/>
      <c r="M53" s="313">
        <f>'bieu 54'!I52</f>
        <v>3406.14</v>
      </c>
      <c r="N53" s="315">
        <f t="shared" si="8"/>
        <v>3406.14</v>
      </c>
      <c r="O53" s="315"/>
      <c r="P53" s="313">
        <f t="shared" si="3"/>
        <v>0</v>
      </c>
      <c r="Q53" s="313">
        <f>'bieu 54'!M52</f>
        <v>0</v>
      </c>
      <c r="R53" s="313">
        <f>'bieu 54'!N52</f>
        <v>0</v>
      </c>
      <c r="S53" s="299">
        <f>'bieu 54'!O52</f>
        <v>0</v>
      </c>
      <c r="T53" s="204">
        <f t="shared" si="4"/>
        <v>110.85241548094822</v>
      </c>
      <c r="U53" s="204" t="e">
        <f t="shared" si="5"/>
        <v>#DIV/0!</v>
      </c>
      <c r="V53" s="204">
        <f t="shared" si="6"/>
        <v>110.85241548094822</v>
      </c>
      <c r="W53" s="65"/>
      <c r="X53" s="65"/>
    </row>
    <row r="54" spans="1:24" s="64" customFormat="1" ht="25.5">
      <c r="A54" s="207">
        <v>42</v>
      </c>
      <c r="B54" s="205" t="s">
        <v>598</v>
      </c>
      <c r="C54" s="313">
        <f>'bieu 54'!C53</f>
        <v>3784.325</v>
      </c>
      <c r="D54" s="313">
        <f>'bieu 54'!D53</f>
        <v>0</v>
      </c>
      <c r="E54" s="313">
        <f>'bieu 54'!E53</f>
        <v>3784.325</v>
      </c>
      <c r="F54" s="315">
        <f t="shared" si="7"/>
        <v>3784.325</v>
      </c>
      <c r="G54" s="315"/>
      <c r="H54" s="317"/>
      <c r="I54" s="299">
        <f t="shared" si="2"/>
        <v>4259.325285</v>
      </c>
      <c r="J54" s="313">
        <f>'bieu 54'!H53</f>
        <v>0</v>
      </c>
      <c r="K54" s="315"/>
      <c r="L54" s="315"/>
      <c r="M54" s="313">
        <f>'bieu 54'!I53</f>
        <v>4259.325285</v>
      </c>
      <c r="N54" s="315">
        <f t="shared" si="8"/>
        <v>4259.325285</v>
      </c>
      <c r="O54" s="315"/>
      <c r="P54" s="313">
        <f t="shared" si="3"/>
        <v>0</v>
      </c>
      <c r="Q54" s="313">
        <f>'bieu 54'!M53</f>
        <v>0</v>
      </c>
      <c r="R54" s="313">
        <f>'bieu 54'!N53</f>
        <v>0</v>
      </c>
      <c r="S54" s="299">
        <f>'bieu 54'!O53</f>
        <v>155.48371500000002</v>
      </c>
      <c r="T54" s="204">
        <f t="shared" si="4"/>
        <v>112.55178360738046</v>
      </c>
      <c r="U54" s="204" t="e">
        <f t="shared" si="5"/>
        <v>#DIV/0!</v>
      </c>
      <c r="V54" s="204">
        <f t="shared" si="6"/>
        <v>112.55178360738046</v>
      </c>
      <c r="W54" s="65"/>
      <c r="X54" s="65"/>
    </row>
    <row r="55" spans="1:24" s="64" customFormat="1" ht="25.5">
      <c r="A55" s="207">
        <v>43</v>
      </c>
      <c r="B55" s="205" t="s">
        <v>599</v>
      </c>
      <c r="C55" s="313">
        <f>'bieu 54'!C54</f>
        <v>3899.035</v>
      </c>
      <c r="D55" s="313">
        <f>'bieu 54'!D54</f>
        <v>0</v>
      </c>
      <c r="E55" s="313">
        <f>'bieu 54'!E54</f>
        <v>3899.035</v>
      </c>
      <c r="F55" s="315">
        <f t="shared" si="7"/>
        <v>3899.035</v>
      </c>
      <c r="G55" s="315"/>
      <c r="H55" s="317"/>
      <c r="I55" s="299">
        <f t="shared" si="2"/>
        <v>4338.497</v>
      </c>
      <c r="J55" s="313">
        <f>'bieu 54'!H54</f>
        <v>0</v>
      </c>
      <c r="K55" s="315"/>
      <c r="L55" s="315"/>
      <c r="M55" s="313">
        <f>'bieu 54'!I54</f>
        <v>4338.497</v>
      </c>
      <c r="N55" s="315">
        <f t="shared" si="8"/>
        <v>4338.497</v>
      </c>
      <c r="O55" s="315"/>
      <c r="P55" s="313">
        <f t="shared" si="3"/>
        <v>0</v>
      </c>
      <c r="Q55" s="313">
        <f>'bieu 54'!M54</f>
        <v>0</v>
      </c>
      <c r="R55" s="313">
        <f>'bieu 54'!N54</f>
        <v>0</v>
      </c>
      <c r="S55" s="299">
        <f>'bieu 54'!O54</f>
        <v>0</v>
      </c>
      <c r="T55" s="204">
        <f t="shared" si="4"/>
        <v>111.2710452714582</v>
      </c>
      <c r="U55" s="204" t="e">
        <f t="shared" si="5"/>
        <v>#DIV/0!</v>
      </c>
      <c r="V55" s="204">
        <f t="shared" si="6"/>
        <v>111.2710452714582</v>
      </c>
      <c r="W55" s="65"/>
      <c r="X55" s="65"/>
    </row>
    <row r="56" spans="1:24" s="64" customFormat="1" ht="25.5">
      <c r="A56" s="207">
        <v>44</v>
      </c>
      <c r="B56" s="205" t="s">
        <v>600</v>
      </c>
      <c r="C56" s="313">
        <f>'bieu 54'!C55</f>
        <v>3317.825</v>
      </c>
      <c r="D56" s="313">
        <f>'bieu 54'!D55</f>
        <v>0</v>
      </c>
      <c r="E56" s="313">
        <f>'bieu 54'!E55</f>
        <v>3317.825</v>
      </c>
      <c r="F56" s="315">
        <f t="shared" si="7"/>
        <v>3317.825</v>
      </c>
      <c r="G56" s="315"/>
      <c r="H56" s="317"/>
      <c r="I56" s="299">
        <f t="shared" si="2"/>
        <v>3983.570476</v>
      </c>
      <c r="J56" s="313">
        <f>'bieu 54'!H55</f>
        <v>0</v>
      </c>
      <c r="K56" s="315"/>
      <c r="L56" s="315"/>
      <c r="M56" s="313">
        <f>'bieu 54'!I55</f>
        <v>3983.570476</v>
      </c>
      <c r="N56" s="315">
        <f t="shared" si="8"/>
        <v>3983.570476</v>
      </c>
      <c r="O56" s="315"/>
      <c r="P56" s="313">
        <f t="shared" si="3"/>
        <v>0</v>
      </c>
      <c r="Q56" s="313">
        <f>'bieu 54'!M55</f>
        <v>0</v>
      </c>
      <c r="R56" s="313">
        <f>'bieu 54'!N55</f>
        <v>0</v>
      </c>
      <c r="S56" s="299">
        <f>'bieu 54'!O55</f>
        <v>0</v>
      </c>
      <c r="T56" s="204">
        <f t="shared" si="4"/>
        <v>120.06572004249772</v>
      </c>
      <c r="U56" s="204" t="e">
        <f t="shared" si="5"/>
        <v>#DIV/0!</v>
      </c>
      <c r="V56" s="204">
        <f t="shared" si="6"/>
        <v>120.06572004249772</v>
      </c>
      <c r="W56" s="65"/>
      <c r="X56" s="65"/>
    </row>
    <row r="57" spans="1:24" s="64" customFormat="1" ht="25.5">
      <c r="A57" s="207">
        <v>45</v>
      </c>
      <c r="B57" s="205" t="s">
        <v>602</v>
      </c>
      <c r="C57" s="313">
        <f>'bieu 54'!C56</f>
        <v>2248.775</v>
      </c>
      <c r="D57" s="313">
        <f>'bieu 54'!D56</f>
        <v>0</v>
      </c>
      <c r="E57" s="313">
        <f>'bieu 54'!E56</f>
        <v>2248.775</v>
      </c>
      <c r="F57" s="315">
        <f t="shared" si="7"/>
        <v>2248.775</v>
      </c>
      <c r="G57" s="315"/>
      <c r="H57" s="317"/>
      <c r="I57" s="299">
        <f t="shared" si="2"/>
        <v>2535.7614</v>
      </c>
      <c r="J57" s="313">
        <f>'bieu 54'!H56</f>
        <v>0</v>
      </c>
      <c r="K57" s="315"/>
      <c r="L57" s="315"/>
      <c r="M57" s="313">
        <f>'bieu 54'!I56</f>
        <v>2535.7614</v>
      </c>
      <c r="N57" s="315">
        <f t="shared" si="8"/>
        <v>2535.7614</v>
      </c>
      <c r="O57" s="315"/>
      <c r="P57" s="313">
        <f t="shared" si="3"/>
        <v>0</v>
      </c>
      <c r="Q57" s="313">
        <f>'bieu 54'!M56</f>
        <v>0</v>
      </c>
      <c r="R57" s="313">
        <f>'bieu 54'!N56</f>
        <v>0</v>
      </c>
      <c r="S57" s="299">
        <f>'bieu 54'!O56</f>
        <v>0</v>
      </c>
      <c r="T57" s="204">
        <f t="shared" si="4"/>
        <v>112.76189925626173</v>
      </c>
      <c r="U57" s="204" t="e">
        <f t="shared" si="5"/>
        <v>#DIV/0!</v>
      </c>
      <c r="V57" s="204">
        <f t="shared" si="6"/>
        <v>112.76189925626173</v>
      </c>
      <c r="W57" s="65"/>
      <c r="X57" s="65"/>
    </row>
    <row r="58" spans="1:24" s="64" customFormat="1" ht="25.5">
      <c r="A58" s="207">
        <v>46</v>
      </c>
      <c r="B58" s="205" t="s">
        <v>603</v>
      </c>
      <c r="C58" s="313">
        <f>'bieu 54'!C57</f>
        <v>3161.145</v>
      </c>
      <c r="D58" s="313">
        <f>'bieu 54'!D57</f>
        <v>0</v>
      </c>
      <c r="E58" s="313">
        <f>'bieu 54'!E57</f>
        <v>3161.145</v>
      </c>
      <c r="F58" s="315">
        <f t="shared" si="7"/>
        <v>3161.145</v>
      </c>
      <c r="G58" s="315"/>
      <c r="H58" s="317"/>
      <c r="I58" s="299">
        <f t="shared" si="2"/>
        <v>3346.2402</v>
      </c>
      <c r="J58" s="313">
        <f>'bieu 54'!H57</f>
        <v>0</v>
      </c>
      <c r="K58" s="315"/>
      <c r="L58" s="315"/>
      <c r="M58" s="313">
        <f>'bieu 54'!I57</f>
        <v>3346.2402</v>
      </c>
      <c r="N58" s="315">
        <f t="shared" si="8"/>
        <v>3346.2402</v>
      </c>
      <c r="O58" s="315"/>
      <c r="P58" s="313">
        <f t="shared" si="3"/>
        <v>0</v>
      </c>
      <c r="Q58" s="313">
        <f>'bieu 54'!M57</f>
        <v>0</v>
      </c>
      <c r="R58" s="313">
        <f>'bieu 54'!N57</f>
        <v>0</v>
      </c>
      <c r="S58" s="299">
        <f>'bieu 54'!O57</f>
        <v>0</v>
      </c>
      <c r="T58" s="204">
        <f t="shared" si="4"/>
        <v>105.85532141043832</v>
      </c>
      <c r="U58" s="204" t="e">
        <f t="shared" si="5"/>
        <v>#DIV/0!</v>
      </c>
      <c r="V58" s="204">
        <f t="shared" si="6"/>
        <v>105.85532141043832</v>
      </c>
      <c r="W58" s="65"/>
      <c r="X58" s="65"/>
    </row>
    <row r="59" spans="1:24" s="64" customFormat="1" ht="25.5">
      <c r="A59" s="207">
        <v>47</v>
      </c>
      <c r="B59" s="205" t="s">
        <v>604</v>
      </c>
      <c r="C59" s="313">
        <f>'bieu 54'!C58</f>
        <v>2338.615</v>
      </c>
      <c r="D59" s="313">
        <f>'bieu 54'!D58</f>
        <v>0</v>
      </c>
      <c r="E59" s="313">
        <f>'bieu 54'!E58</f>
        <v>2338.615</v>
      </c>
      <c r="F59" s="315">
        <f t="shared" si="7"/>
        <v>2338.615</v>
      </c>
      <c r="G59" s="315"/>
      <c r="H59" s="317"/>
      <c r="I59" s="299">
        <f t="shared" si="2"/>
        <v>2733.891</v>
      </c>
      <c r="J59" s="313">
        <f>'bieu 54'!H58</f>
        <v>0</v>
      </c>
      <c r="K59" s="315"/>
      <c r="L59" s="315"/>
      <c r="M59" s="313">
        <f>'bieu 54'!I58</f>
        <v>2733.891</v>
      </c>
      <c r="N59" s="315">
        <f t="shared" si="8"/>
        <v>2733.891</v>
      </c>
      <c r="O59" s="315"/>
      <c r="P59" s="313">
        <f t="shared" si="3"/>
        <v>0</v>
      </c>
      <c r="Q59" s="313">
        <f>'bieu 54'!M58</f>
        <v>0</v>
      </c>
      <c r="R59" s="313">
        <f>'bieu 54'!N58</f>
        <v>0</v>
      </c>
      <c r="S59" s="299">
        <f>'bieu 54'!O58</f>
        <v>0</v>
      </c>
      <c r="T59" s="204">
        <f t="shared" si="4"/>
        <v>116.9021407970102</v>
      </c>
      <c r="U59" s="204" t="e">
        <f t="shared" si="5"/>
        <v>#DIV/0!</v>
      </c>
      <c r="V59" s="204">
        <f t="shared" si="6"/>
        <v>116.9021407970102</v>
      </c>
      <c r="W59" s="65"/>
      <c r="X59" s="65"/>
    </row>
    <row r="60" spans="1:24" s="64" customFormat="1" ht="25.5">
      <c r="A60" s="207">
        <v>48</v>
      </c>
      <c r="B60" s="205" t="s">
        <v>605</v>
      </c>
      <c r="C60" s="313">
        <f>'bieu 54'!C59</f>
        <v>2699.195</v>
      </c>
      <c r="D60" s="313">
        <f>'bieu 54'!D59</f>
        <v>0</v>
      </c>
      <c r="E60" s="313">
        <f>'bieu 54'!E59</f>
        <v>2699.195</v>
      </c>
      <c r="F60" s="315">
        <f t="shared" si="7"/>
        <v>2699.195</v>
      </c>
      <c r="G60" s="315"/>
      <c r="H60" s="317"/>
      <c r="I60" s="299">
        <f t="shared" si="2"/>
        <v>3184.34</v>
      </c>
      <c r="J60" s="313">
        <f>'bieu 54'!H59</f>
        <v>0</v>
      </c>
      <c r="K60" s="315"/>
      <c r="L60" s="315"/>
      <c r="M60" s="313">
        <f>'bieu 54'!I59</f>
        <v>3184.34</v>
      </c>
      <c r="N60" s="315">
        <f t="shared" si="8"/>
        <v>3184.34</v>
      </c>
      <c r="O60" s="315"/>
      <c r="P60" s="313">
        <f t="shared" si="3"/>
        <v>0</v>
      </c>
      <c r="Q60" s="313">
        <f>'bieu 54'!M59</f>
        <v>0</v>
      </c>
      <c r="R60" s="313">
        <f>'bieu 54'!N59</f>
        <v>0</v>
      </c>
      <c r="S60" s="299">
        <f>'bieu 54'!O59</f>
        <v>32.839</v>
      </c>
      <c r="T60" s="204">
        <f t="shared" si="4"/>
        <v>117.97369215636513</v>
      </c>
      <c r="U60" s="204" t="e">
        <f t="shared" si="5"/>
        <v>#DIV/0!</v>
      </c>
      <c r="V60" s="204">
        <f t="shared" si="6"/>
        <v>117.97369215636513</v>
      </c>
      <c r="W60" s="65"/>
      <c r="X60" s="65"/>
    </row>
    <row r="61" spans="1:24" s="64" customFormat="1" ht="25.5">
      <c r="A61" s="207">
        <v>49</v>
      </c>
      <c r="B61" s="205" t="s">
        <v>606</v>
      </c>
      <c r="C61" s="313">
        <f>'bieu 54'!C60</f>
        <v>7090.54</v>
      </c>
      <c r="D61" s="313">
        <f>'bieu 54'!D60</f>
        <v>0</v>
      </c>
      <c r="E61" s="313">
        <f>'bieu 54'!E60</f>
        <v>7090.54</v>
      </c>
      <c r="F61" s="315">
        <f t="shared" si="7"/>
        <v>7090.54</v>
      </c>
      <c r="G61" s="315"/>
      <c r="H61" s="317"/>
      <c r="I61" s="299">
        <f t="shared" si="2"/>
        <v>7612.689654</v>
      </c>
      <c r="J61" s="313">
        <f>'bieu 54'!H60</f>
        <v>0</v>
      </c>
      <c r="K61" s="315"/>
      <c r="L61" s="315"/>
      <c r="M61" s="313">
        <f>'bieu 54'!I60</f>
        <v>7612.689654</v>
      </c>
      <c r="N61" s="315">
        <f t="shared" si="8"/>
        <v>7612.689654</v>
      </c>
      <c r="O61" s="315"/>
      <c r="P61" s="313">
        <f t="shared" si="3"/>
        <v>0</v>
      </c>
      <c r="Q61" s="313">
        <f>'bieu 54'!M60</f>
        <v>0</v>
      </c>
      <c r="R61" s="313">
        <f>'bieu 54'!N60</f>
        <v>0</v>
      </c>
      <c r="S61" s="299">
        <f>'bieu 54'!O60</f>
        <v>525.577846</v>
      </c>
      <c r="T61" s="204">
        <f t="shared" si="4"/>
        <v>107.36403227398759</v>
      </c>
      <c r="U61" s="204" t="e">
        <f t="shared" si="5"/>
        <v>#DIV/0!</v>
      </c>
      <c r="V61" s="204">
        <f t="shared" si="6"/>
        <v>107.36403227398759</v>
      </c>
      <c r="W61" s="65"/>
      <c r="X61" s="65"/>
    </row>
    <row r="62" spans="1:24" s="64" customFormat="1" ht="25.5">
      <c r="A62" s="207">
        <v>50</v>
      </c>
      <c r="B62" s="205" t="s">
        <v>607</v>
      </c>
      <c r="C62" s="313">
        <f>'bieu 54'!C61</f>
        <v>6427.452</v>
      </c>
      <c r="D62" s="313">
        <f>'bieu 54'!D61</f>
        <v>0</v>
      </c>
      <c r="E62" s="313">
        <f>'bieu 54'!E61</f>
        <v>6427.452</v>
      </c>
      <c r="F62" s="315">
        <f t="shared" si="7"/>
        <v>6427.452</v>
      </c>
      <c r="G62" s="315"/>
      <c r="H62" s="317"/>
      <c r="I62" s="299">
        <f t="shared" si="2"/>
        <v>6943.7967</v>
      </c>
      <c r="J62" s="313">
        <f>'bieu 54'!H61</f>
        <v>0</v>
      </c>
      <c r="K62" s="315"/>
      <c r="L62" s="315"/>
      <c r="M62" s="313">
        <f>'bieu 54'!I61</f>
        <v>6943.7967</v>
      </c>
      <c r="N62" s="315">
        <f t="shared" si="8"/>
        <v>6943.7967</v>
      </c>
      <c r="O62" s="315"/>
      <c r="P62" s="313">
        <f t="shared" si="3"/>
        <v>0</v>
      </c>
      <c r="Q62" s="313">
        <f>'bieu 54'!M61</f>
        <v>0</v>
      </c>
      <c r="R62" s="313">
        <f>'bieu 54'!N61</f>
        <v>0</v>
      </c>
      <c r="S62" s="299">
        <f>'bieu 54'!O61</f>
        <v>40.8263</v>
      </c>
      <c r="T62" s="204">
        <f t="shared" si="4"/>
        <v>108.03342755418477</v>
      </c>
      <c r="U62" s="204" t="e">
        <f t="shared" si="5"/>
        <v>#DIV/0!</v>
      </c>
      <c r="V62" s="204">
        <f t="shared" si="6"/>
        <v>108.03342755418477</v>
      </c>
      <c r="W62" s="65"/>
      <c r="X62" s="65"/>
    </row>
    <row r="63" spans="1:24" s="64" customFormat="1" ht="25.5">
      <c r="A63" s="207">
        <v>51</v>
      </c>
      <c r="B63" s="205" t="s">
        <v>608</v>
      </c>
      <c r="C63" s="313">
        <f>'bieu 54'!C62</f>
        <v>4118.6</v>
      </c>
      <c r="D63" s="313">
        <f>'bieu 54'!D62</f>
        <v>0</v>
      </c>
      <c r="E63" s="313">
        <f>'bieu 54'!E62</f>
        <v>4118.6</v>
      </c>
      <c r="F63" s="315">
        <f t="shared" si="7"/>
        <v>4118.6</v>
      </c>
      <c r="G63" s="315"/>
      <c r="H63" s="317"/>
      <c r="I63" s="299">
        <f t="shared" si="2"/>
        <v>4697.275</v>
      </c>
      <c r="J63" s="313">
        <f>'bieu 54'!H62</f>
        <v>0</v>
      </c>
      <c r="K63" s="315"/>
      <c r="L63" s="315"/>
      <c r="M63" s="313">
        <f>'bieu 54'!I62</f>
        <v>4697.275</v>
      </c>
      <c r="N63" s="315">
        <f t="shared" si="8"/>
        <v>4697.275</v>
      </c>
      <c r="O63" s="315"/>
      <c r="P63" s="313">
        <f t="shared" si="3"/>
        <v>0</v>
      </c>
      <c r="Q63" s="313">
        <f>'bieu 54'!M62</f>
        <v>0</v>
      </c>
      <c r="R63" s="313">
        <f>'bieu 54'!N62</f>
        <v>0</v>
      </c>
      <c r="S63" s="299">
        <f>'bieu 54'!O62</f>
        <v>0</v>
      </c>
      <c r="T63" s="204">
        <f t="shared" si="4"/>
        <v>114.05028407711357</v>
      </c>
      <c r="U63" s="204" t="e">
        <f t="shared" si="5"/>
        <v>#DIV/0!</v>
      </c>
      <c r="V63" s="204">
        <f t="shared" si="6"/>
        <v>114.05028407711357</v>
      </c>
      <c r="W63" s="65"/>
      <c r="X63" s="65"/>
    </row>
    <row r="64" spans="1:24" s="64" customFormat="1" ht="25.5">
      <c r="A64" s="207">
        <v>52</v>
      </c>
      <c r="B64" s="205" t="s">
        <v>609</v>
      </c>
      <c r="C64" s="313">
        <f>'bieu 54'!C63</f>
        <v>7927.113</v>
      </c>
      <c r="D64" s="313">
        <f>'bieu 54'!D63</f>
        <v>0</v>
      </c>
      <c r="E64" s="313">
        <f>'bieu 54'!E63</f>
        <v>7927.113</v>
      </c>
      <c r="F64" s="315">
        <f t="shared" si="7"/>
        <v>7927.113</v>
      </c>
      <c r="G64" s="315"/>
      <c r="H64" s="317"/>
      <c r="I64" s="299">
        <f t="shared" si="2"/>
        <v>8860.019</v>
      </c>
      <c r="J64" s="313">
        <f>'bieu 54'!H63</f>
        <v>0</v>
      </c>
      <c r="K64" s="315"/>
      <c r="L64" s="315"/>
      <c r="M64" s="313">
        <f>'bieu 54'!I63</f>
        <v>8860.019</v>
      </c>
      <c r="N64" s="315">
        <f t="shared" si="8"/>
        <v>8860.019</v>
      </c>
      <c r="O64" s="315"/>
      <c r="P64" s="313">
        <f t="shared" si="3"/>
        <v>0</v>
      </c>
      <c r="Q64" s="313">
        <f>'bieu 54'!M63</f>
        <v>0</v>
      </c>
      <c r="R64" s="313">
        <f>'bieu 54'!N63</f>
        <v>0</v>
      </c>
      <c r="S64" s="299">
        <f>'bieu 54'!O63</f>
        <v>0</v>
      </c>
      <c r="T64" s="204">
        <f t="shared" si="4"/>
        <v>111.76854675844787</v>
      </c>
      <c r="U64" s="204" t="e">
        <f t="shared" si="5"/>
        <v>#DIV/0!</v>
      </c>
      <c r="V64" s="204">
        <f t="shared" si="6"/>
        <v>111.76854675844787</v>
      </c>
      <c r="W64" s="65"/>
      <c r="X64" s="65"/>
    </row>
    <row r="65" spans="1:24" s="64" customFormat="1" ht="25.5">
      <c r="A65" s="207">
        <v>53</v>
      </c>
      <c r="B65" s="205" t="s">
        <v>610</v>
      </c>
      <c r="C65" s="313">
        <f>'bieu 54'!C64</f>
        <v>6356.822</v>
      </c>
      <c r="D65" s="313">
        <f>'bieu 54'!D64</f>
        <v>0</v>
      </c>
      <c r="E65" s="313">
        <f>'bieu 54'!E64</f>
        <v>6356.822</v>
      </c>
      <c r="F65" s="315">
        <f t="shared" si="7"/>
        <v>6356.822</v>
      </c>
      <c r="G65" s="315"/>
      <c r="H65" s="317"/>
      <c r="I65" s="299">
        <f t="shared" si="2"/>
        <v>7079.626</v>
      </c>
      <c r="J65" s="313">
        <f>'bieu 54'!H64</f>
        <v>0</v>
      </c>
      <c r="K65" s="315"/>
      <c r="L65" s="315"/>
      <c r="M65" s="313">
        <f>'bieu 54'!I64</f>
        <v>7079.626</v>
      </c>
      <c r="N65" s="315">
        <f t="shared" si="8"/>
        <v>7079.626</v>
      </c>
      <c r="O65" s="315"/>
      <c r="P65" s="313">
        <f t="shared" si="3"/>
        <v>0</v>
      </c>
      <c r="Q65" s="313">
        <f>'bieu 54'!M64</f>
        <v>0</v>
      </c>
      <c r="R65" s="313">
        <f>'bieu 54'!N64</f>
        <v>0</v>
      </c>
      <c r="S65" s="299">
        <f>'bieu 54'!O64</f>
        <v>0</v>
      </c>
      <c r="T65" s="204">
        <f t="shared" si="4"/>
        <v>111.3705244538859</v>
      </c>
      <c r="U65" s="204" t="e">
        <f t="shared" si="5"/>
        <v>#DIV/0!</v>
      </c>
      <c r="V65" s="204">
        <f t="shared" si="6"/>
        <v>111.3705244538859</v>
      </c>
      <c r="W65" s="65"/>
      <c r="X65" s="65"/>
    </row>
    <row r="66" spans="1:24" s="64" customFormat="1" ht="25.5">
      <c r="A66" s="207">
        <v>54</v>
      </c>
      <c r="B66" s="205" t="s">
        <v>611</v>
      </c>
      <c r="C66" s="313">
        <f>'bieu 54'!C65</f>
        <v>3731.93</v>
      </c>
      <c r="D66" s="313">
        <f>'bieu 54'!D65</f>
        <v>0</v>
      </c>
      <c r="E66" s="313">
        <f>'bieu 54'!E65</f>
        <v>3731.93</v>
      </c>
      <c r="F66" s="315">
        <f t="shared" si="7"/>
        <v>3731.93</v>
      </c>
      <c r="G66" s="315"/>
      <c r="H66" s="317"/>
      <c r="I66" s="299">
        <f t="shared" si="2"/>
        <v>4219.03647</v>
      </c>
      <c r="J66" s="313">
        <f>'bieu 54'!H65</f>
        <v>0</v>
      </c>
      <c r="K66" s="315"/>
      <c r="L66" s="315"/>
      <c r="M66" s="313">
        <f>'bieu 54'!I65</f>
        <v>4219.03647</v>
      </c>
      <c r="N66" s="315">
        <f t="shared" si="8"/>
        <v>4219.03647</v>
      </c>
      <c r="O66" s="315"/>
      <c r="P66" s="313">
        <f t="shared" si="3"/>
        <v>0</v>
      </c>
      <c r="Q66" s="313">
        <f>'bieu 54'!M65</f>
        <v>0</v>
      </c>
      <c r="R66" s="313">
        <f>'bieu 54'!N65</f>
        <v>0</v>
      </c>
      <c r="S66" s="299">
        <f>'bieu 54'!O65</f>
        <v>18.48953</v>
      </c>
      <c r="T66" s="204">
        <f t="shared" si="4"/>
        <v>113.05240103646103</v>
      </c>
      <c r="U66" s="204" t="e">
        <f t="shared" si="5"/>
        <v>#DIV/0!</v>
      </c>
      <c r="V66" s="204">
        <f t="shared" si="6"/>
        <v>113.05240103646103</v>
      </c>
      <c r="W66" s="65"/>
      <c r="X66" s="65"/>
    </row>
    <row r="67" spans="1:24" s="64" customFormat="1" ht="25.5">
      <c r="A67" s="207">
        <v>55</v>
      </c>
      <c r="B67" s="205" t="s">
        <v>612</v>
      </c>
      <c r="C67" s="313">
        <f>'bieu 54'!C66</f>
        <v>3432.612</v>
      </c>
      <c r="D67" s="313">
        <f>'bieu 54'!D66</f>
        <v>0</v>
      </c>
      <c r="E67" s="313">
        <f>'bieu 54'!E66</f>
        <v>3432.612</v>
      </c>
      <c r="F67" s="315">
        <f t="shared" si="7"/>
        <v>3432.612</v>
      </c>
      <c r="G67" s="315"/>
      <c r="H67" s="317"/>
      <c r="I67" s="299">
        <f t="shared" si="2"/>
        <v>3698.583</v>
      </c>
      <c r="J67" s="313">
        <f>'bieu 54'!H66</f>
        <v>0</v>
      </c>
      <c r="K67" s="315"/>
      <c r="L67" s="315"/>
      <c r="M67" s="313">
        <f>'bieu 54'!I66</f>
        <v>3698.583</v>
      </c>
      <c r="N67" s="315">
        <f t="shared" si="8"/>
        <v>3698.583</v>
      </c>
      <c r="O67" s="315"/>
      <c r="P67" s="313">
        <f t="shared" si="3"/>
        <v>0</v>
      </c>
      <c r="Q67" s="313">
        <f>'bieu 54'!M66</f>
        <v>0</v>
      </c>
      <c r="R67" s="313">
        <f>'bieu 54'!N66</f>
        <v>0</v>
      </c>
      <c r="S67" s="299">
        <f>'bieu 54'!O66</f>
        <v>46.01</v>
      </c>
      <c r="T67" s="204">
        <f t="shared" si="4"/>
        <v>107.7483560623805</v>
      </c>
      <c r="U67" s="204" t="e">
        <f t="shared" si="5"/>
        <v>#DIV/0!</v>
      </c>
      <c r="V67" s="204">
        <f t="shared" si="6"/>
        <v>107.7483560623805</v>
      </c>
      <c r="W67" s="65"/>
      <c r="X67" s="65"/>
    </row>
    <row r="68" spans="1:24" s="64" customFormat="1" ht="25.5">
      <c r="A68" s="207">
        <v>56</v>
      </c>
      <c r="B68" s="205" t="s">
        <v>613</v>
      </c>
      <c r="C68" s="313">
        <f>'bieu 54'!C67</f>
        <v>8354.002</v>
      </c>
      <c r="D68" s="313">
        <f>'bieu 54'!D67</f>
        <v>0</v>
      </c>
      <c r="E68" s="313">
        <f>'bieu 54'!E67</f>
        <v>8354.002</v>
      </c>
      <c r="F68" s="315">
        <f t="shared" si="7"/>
        <v>8354.002</v>
      </c>
      <c r="G68" s="315"/>
      <c r="H68" s="317"/>
      <c r="I68" s="299">
        <f t="shared" si="2"/>
        <v>9752.176594</v>
      </c>
      <c r="J68" s="313">
        <f>'bieu 54'!H67</f>
        <v>0</v>
      </c>
      <c r="K68" s="315"/>
      <c r="L68" s="315"/>
      <c r="M68" s="313">
        <f>'bieu 54'!I67</f>
        <v>9752.176594</v>
      </c>
      <c r="N68" s="315">
        <f t="shared" si="8"/>
        <v>9752.176594</v>
      </c>
      <c r="O68" s="315"/>
      <c r="P68" s="313">
        <f t="shared" si="3"/>
        <v>0</v>
      </c>
      <c r="Q68" s="313">
        <f>'bieu 54'!M67</f>
        <v>0</v>
      </c>
      <c r="R68" s="313">
        <f>'bieu 54'!N67</f>
        <v>0</v>
      </c>
      <c r="S68" s="299">
        <f>'bieu 54'!O67</f>
        <v>91.183106</v>
      </c>
      <c r="T68" s="204">
        <f t="shared" si="4"/>
        <v>116.73658438195251</v>
      </c>
      <c r="U68" s="204" t="e">
        <f t="shared" si="5"/>
        <v>#DIV/0!</v>
      </c>
      <c r="V68" s="204">
        <f t="shared" si="6"/>
        <v>116.73658438195251</v>
      </c>
      <c r="W68" s="65"/>
      <c r="X68" s="65"/>
    </row>
    <row r="69" spans="1:24" s="64" customFormat="1" ht="25.5">
      <c r="A69" s="207">
        <v>57</v>
      </c>
      <c r="B69" s="205" t="s">
        <v>614</v>
      </c>
      <c r="C69" s="313">
        <f>'bieu 54'!C68</f>
        <v>4389.619</v>
      </c>
      <c r="D69" s="313">
        <f>'bieu 54'!D68</f>
        <v>0</v>
      </c>
      <c r="E69" s="313">
        <f>'bieu 54'!E68</f>
        <v>4389.619</v>
      </c>
      <c r="F69" s="315">
        <f t="shared" si="7"/>
        <v>4389.619</v>
      </c>
      <c r="G69" s="315"/>
      <c r="H69" s="317"/>
      <c r="I69" s="299">
        <f t="shared" si="2"/>
        <v>4699.00071</v>
      </c>
      <c r="J69" s="313">
        <f>'bieu 54'!H68</f>
        <v>0</v>
      </c>
      <c r="K69" s="315"/>
      <c r="L69" s="315"/>
      <c r="M69" s="313">
        <f>'bieu 54'!I68</f>
        <v>4699.00071</v>
      </c>
      <c r="N69" s="315">
        <f t="shared" si="8"/>
        <v>4699.00071</v>
      </c>
      <c r="O69" s="315"/>
      <c r="P69" s="313">
        <f t="shared" si="3"/>
        <v>0</v>
      </c>
      <c r="Q69" s="313">
        <f>'bieu 54'!M68</f>
        <v>0</v>
      </c>
      <c r="R69" s="313">
        <f>'bieu 54'!N68</f>
        <v>0</v>
      </c>
      <c r="S69" s="299">
        <f>'bieu 54'!O68</f>
        <v>35.78229</v>
      </c>
      <c r="T69" s="204">
        <f t="shared" si="4"/>
        <v>107.0480310477971</v>
      </c>
      <c r="U69" s="204" t="e">
        <f t="shared" si="5"/>
        <v>#DIV/0!</v>
      </c>
      <c r="V69" s="204">
        <f t="shared" si="6"/>
        <v>107.0480310477971</v>
      </c>
      <c r="W69" s="65"/>
      <c r="X69" s="65"/>
    </row>
    <row r="70" spans="1:24" s="64" customFormat="1" ht="25.5">
      <c r="A70" s="207">
        <v>58</v>
      </c>
      <c r="B70" s="205" t="s">
        <v>615</v>
      </c>
      <c r="C70" s="313">
        <f>'bieu 54'!C69</f>
        <v>3293.015</v>
      </c>
      <c r="D70" s="313">
        <f>'bieu 54'!D69</f>
        <v>0</v>
      </c>
      <c r="E70" s="313">
        <f>'bieu 54'!E69</f>
        <v>3293.015</v>
      </c>
      <c r="F70" s="315">
        <f t="shared" si="7"/>
        <v>3293.015</v>
      </c>
      <c r="G70" s="315"/>
      <c r="H70" s="317"/>
      <c r="I70" s="299">
        <f t="shared" si="2"/>
        <v>3534.675</v>
      </c>
      <c r="J70" s="313">
        <f>'bieu 54'!H69</f>
        <v>0</v>
      </c>
      <c r="K70" s="315"/>
      <c r="L70" s="315"/>
      <c r="M70" s="313">
        <f>'bieu 54'!I69</f>
        <v>3534.675</v>
      </c>
      <c r="N70" s="315">
        <f t="shared" si="8"/>
        <v>3534.675</v>
      </c>
      <c r="O70" s="315"/>
      <c r="P70" s="313">
        <f t="shared" si="3"/>
        <v>0</v>
      </c>
      <c r="Q70" s="313">
        <f>'bieu 54'!M69</f>
        <v>0</v>
      </c>
      <c r="R70" s="313">
        <f>'bieu 54'!N69</f>
        <v>0</v>
      </c>
      <c r="S70" s="299">
        <f>'bieu 54'!O69</f>
        <v>0</v>
      </c>
      <c r="T70" s="204">
        <f t="shared" si="4"/>
        <v>107.33856359597513</v>
      </c>
      <c r="U70" s="204" t="e">
        <f t="shared" si="5"/>
        <v>#DIV/0!</v>
      </c>
      <c r="V70" s="204">
        <f t="shared" si="6"/>
        <v>107.33856359597513</v>
      </c>
      <c r="W70" s="65"/>
      <c r="X70" s="65"/>
    </row>
    <row r="71" spans="1:24" s="64" customFormat="1" ht="25.5">
      <c r="A71" s="207">
        <v>59</v>
      </c>
      <c r="B71" s="205" t="s">
        <v>782</v>
      </c>
      <c r="C71" s="313">
        <f>'bieu 54'!C70</f>
        <v>5172.424</v>
      </c>
      <c r="D71" s="313"/>
      <c r="E71" s="313">
        <f>'bieu 54'!E70</f>
        <v>5172.424</v>
      </c>
      <c r="F71" s="315">
        <f t="shared" si="7"/>
        <v>5172.424</v>
      </c>
      <c r="G71" s="315"/>
      <c r="H71" s="317"/>
      <c r="I71" s="299">
        <f t="shared" si="2"/>
        <v>3438.8197</v>
      </c>
      <c r="J71" s="313"/>
      <c r="K71" s="315"/>
      <c r="L71" s="315"/>
      <c r="M71" s="313">
        <f>'bieu 54'!I70</f>
        <v>3438.8197</v>
      </c>
      <c r="N71" s="315">
        <f>M71</f>
        <v>3438.8197</v>
      </c>
      <c r="O71" s="315"/>
      <c r="P71" s="313"/>
      <c r="Q71" s="313"/>
      <c r="R71" s="313"/>
      <c r="S71" s="299"/>
      <c r="T71" s="204">
        <f>I71/C71*100</f>
        <v>66.48371633879975</v>
      </c>
      <c r="U71" s="204" t="e">
        <f>J71/D71*100</f>
        <v>#DIV/0!</v>
      </c>
      <c r="V71" s="204">
        <f>M71/E71*100</f>
        <v>66.48371633879975</v>
      </c>
      <c r="W71" s="65"/>
      <c r="X71" s="65"/>
    </row>
    <row r="72" spans="1:24" s="64" customFormat="1" ht="25.5">
      <c r="A72" s="207">
        <v>60</v>
      </c>
      <c r="B72" s="205" t="s">
        <v>616</v>
      </c>
      <c r="C72" s="313">
        <f>'bieu 54'!C71</f>
        <v>5080.8</v>
      </c>
      <c r="D72" s="313">
        <f>'bieu 54'!D71</f>
        <v>0</v>
      </c>
      <c r="E72" s="313">
        <f>'bieu 54'!E71</f>
        <v>5080.8</v>
      </c>
      <c r="F72" s="315">
        <f t="shared" si="7"/>
        <v>5080.8</v>
      </c>
      <c r="G72" s="315"/>
      <c r="H72" s="317"/>
      <c r="I72" s="299">
        <f t="shared" si="2"/>
        <v>5466.09</v>
      </c>
      <c r="J72" s="313">
        <f>'bieu 54'!H71</f>
        <v>0</v>
      </c>
      <c r="K72" s="315"/>
      <c r="L72" s="315"/>
      <c r="M72" s="313">
        <f>'bieu 54'!I71</f>
        <v>5466.09</v>
      </c>
      <c r="N72" s="315">
        <f>M72</f>
        <v>5466.09</v>
      </c>
      <c r="O72" s="315"/>
      <c r="P72" s="313">
        <f t="shared" si="3"/>
        <v>0</v>
      </c>
      <c r="Q72" s="313">
        <f>'bieu 54'!M71</f>
        <v>0</v>
      </c>
      <c r="R72" s="313">
        <f>'bieu 54'!N71</f>
        <v>0</v>
      </c>
      <c r="S72" s="299">
        <f>'bieu 54'!O71</f>
        <v>23.69</v>
      </c>
      <c r="T72" s="204">
        <f t="shared" si="4"/>
        <v>107.58325460557391</v>
      </c>
      <c r="U72" s="204" t="e">
        <f t="shared" si="5"/>
        <v>#DIV/0!</v>
      </c>
      <c r="V72" s="204">
        <f t="shared" si="6"/>
        <v>107.58325460557391</v>
      </c>
      <c r="W72" s="65"/>
      <c r="X72" s="65"/>
    </row>
    <row r="73" spans="1:24" s="64" customFormat="1" ht="25.5">
      <c r="A73" s="207">
        <v>61</v>
      </c>
      <c r="B73" s="205" t="s">
        <v>617</v>
      </c>
      <c r="C73" s="313">
        <f>'bieu 54'!C72</f>
        <v>3166.748</v>
      </c>
      <c r="D73" s="313">
        <f>'bieu 54'!D72</f>
        <v>0</v>
      </c>
      <c r="E73" s="313">
        <f>'bieu 54'!E72</f>
        <v>3166.748</v>
      </c>
      <c r="F73" s="315">
        <f t="shared" si="7"/>
        <v>3166.748</v>
      </c>
      <c r="G73" s="315"/>
      <c r="H73" s="317"/>
      <c r="I73" s="299">
        <f t="shared" si="2"/>
        <v>3260.730416</v>
      </c>
      <c r="J73" s="313">
        <f>'bieu 54'!H72</f>
        <v>0</v>
      </c>
      <c r="K73" s="315"/>
      <c r="L73" s="315"/>
      <c r="M73" s="313">
        <f>'bieu 54'!I72</f>
        <v>3260.730416</v>
      </c>
      <c r="N73" s="315">
        <f t="shared" si="8"/>
        <v>3260.730416</v>
      </c>
      <c r="O73" s="315"/>
      <c r="P73" s="313">
        <f t="shared" si="3"/>
        <v>0</v>
      </c>
      <c r="Q73" s="313">
        <f>'bieu 54'!M72</f>
        <v>0</v>
      </c>
      <c r="R73" s="313">
        <f>'bieu 54'!N72</f>
        <v>0</v>
      </c>
      <c r="S73" s="299">
        <f>'bieu 54'!O72</f>
        <v>185.633384</v>
      </c>
      <c r="T73" s="204">
        <f t="shared" si="4"/>
        <v>102.96778954308962</v>
      </c>
      <c r="U73" s="204" t="e">
        <f t="shared" si="5"/>
        <v>#DIV/0!</v>
      </c>
      <c r="V73" s="204">
        <f t="shared" si="6"/>
        <v>102.96778954308962</v>
      </c>
      <c r="W73" s="65"/>
      <c r="X73" s="65"/>
    </row>
    <row r="74" spans="1:24" s="64" customFormat="1" ht="25.5">
      <c r="A74" s="207">
        <v>62</v>
      </c>
      <c r="B74" s="205" t="s">
        <v>618</v>
      </c>
      <c r="C74" s="313">
        <f>'bieu 54'!C73</f>
        <v>2976.14</v>
      </c>
      <c r="D74" s="313">
        <f>'bieu 54'!D73</f>
        <v>0</v>
      </c>
      <c r="E74" s="313">
        <f>'bieu 54'!E73</f>
        <v>2976.14</v>
      </c>
      <c r="F74" s="315">
        <f t="shared" si="7"/>
        <v>2976.14</v>
      </c>
      <c r="G74" s="315"/>
      <c r="H74" s="317"/>
      <c r="I74" s="299">
        <f t="shared" si="2"/>
        <v>3351.636</v>
      </c>
      <c r="J74" s="313">
        <f>'bieu 54'!H73</f>
        <v>0</v>
      </c>
      <c r="K74" s="315"/>
      <c r="L74" s="315"/>
      <c r="M74" s="313">
        <f>'bieu 54'!I73</f>
        <v>3351.636</v>
      </c>
      <c r="N74" s="315">
        <f t="shared" si="8"/>
        <v>3351.636</v>
      </c>
      <c r="O74" s="315"/>
      <c r="P74" s="313">
        <f t="shared" si="3"/>
        <v>0</v>
      </c>
      <c r="Q74" s="313">
        <f>'bieu 54'!M73</f>
        <v>0</v>
      </c>
      <c r="R74" s="313">
        <f>'bieu 54'!N73</f>
        <v>0</v>
      </c>
      <c r="S74" s="299">
        <f>'bieu 54'!O73</f>
        <v>0</v>
      </c>
      <c r="T74" s="204">
        <f t="shared" si="4"/>
        <v>112.61687958227773</v>
      </c>
      <c r="U74" s="204" t="e">
        <f t="shared" si="5"/>
        <v>#DIV/0!</v>
      </c>
      <c r="V74" s="204">
        <f t="shared" si="6"/>
        <v>112.61687958227773</v>
      </c>
      <c r="W74" s="65"/>
      <c r="X74" s="65"/>
    </row>
    <row r="75" spans="1:24" s="64" customFormat="1" ht="25.5">
      <c r="A75" s="207">
        <v>63</v>
      </c>
      <c r="B75" s="205" t="s">
        <v>619</v>
      </c>
      <c r="C75" s="313">
        <f>'bieu 54'!C74</f>
        <v>9055.37</v>
      </c>
      <c r="D75" s="313">
        <f>'bieu 54'!D74</f>
        <v>0</v>
      </c>
      <c r="E75" s="313">
        <f>'bieu 54'!E74</f>
        <v>9055.37</v>
      </c>
      <c r="F75" s="315">
        <f t="shared" si="7"/>
        <v>9055.37</v>
      </c>
      <c r="G75" s="315"/>
      <c r="H75" s="317"/>
      <c r="I75" s="299">
        <f t="shared" si="2"/>
        <v>9925.050049</v>
      </c>
      <c r="J75" s="313">
        <f>'bieu 54'!H74</f>
        <v>0</v>
      </c>
      <c r="K75" s="315"/>
      <c r="L75" s="315"/>
      <c r="M75" s="313">
        <f>'bieu 54'!I74</f>
        <v>9925.050049</v>
      </c>
      <c r="N75" s="315">
        <f t="shared" si="8"/>
        <v>9925.050049</v>
      </c>
      <c r="O75" s="315"/>
      <c r="P75" s="313">
        <f t="shared" si="3"/>
        <v>0</v>
      </c>
      <c r="Q75" s="313">
        <f>'bieu 54'!M74</f>
        <v>0</v>
      </c>
      <c r="R75" s="313">
        <f>'bieu 54'!N74</f>
        <v>0</v>
      </c>
      <c r="S75" s="299">
        <f>'bieu 54'!O74</f>
        <v>56.617951</v>
      </c>
      <c r="T75" s="204">
        <f t="shared" si="4"/>
        <v>109.60402555610646</v>
      </c>
      <c r="U75" s="204" t="e">
        <f t="shared" si="5"/>
        <v>#DIV/0!</v>
      </c>
      <c r="V75" s="204">
        <f t="shared" si="6"/>
        <v>109.60402555610646</v>
      </c>
      <c r="W75" s="65"/>
      <c r="X75" s="65"/>
    </row>
    <row r="76" spans="1:24" s="64" customFormat="1" ht="25.5">
      <c r="A76" s="207">
        <v>64</v>
      </c>
      <c r="B76" s="205" t="s">
        <v>620</v>
      </c>
      <c r="C76" s="313">
        <f>'bieu 54'!C75</f>
        <v>4994.85</v>
      </c>
      <c r="D76" s="313">
        <f>'bieu 54'!D75</f>
        <v>0</v>
      </c>
      <c r="E76" s="313">
        <f>'bieu 54'!E75</f>
        <v>4994.85</v>
      </c>
      <c r="F76" s="315">
        <f t="shared" si="7"/>
        <v>4994.85</v>
      </c>
      <c r="G76" s="315"/>
      <c r="H76" s="317"/>
      <c r="I76" s="299">
        <f t="shared" si="2"/>
        <v>5798.195</v>
      </c>
      <c r="J76" s="313">
        <f>'bieu 54'!H75</f>
        <v>0</v>
      </c>
      <c r="K76" s="315"/>
      <c r="L76" s="315"/>
      <c r="M76" s="313">
        <f>'bieu 54'!I75</f>
        <v>5798.195</v>
      </c>
      <c r="N76" s="315">
        <f t="shared" si="8"/>
        <v>5798.195</v>
      </c>
      <c r="O76" s="315"/>
      <c r="P76" s="313">
        <f t="shared" si="3"/>
        <v>0</v>
      </c>
      <c r="Q76" s="313">
        <f>'bieu 54'!M75</f>
        <v>0</v>
      </c>
      <c r="R76" s="313">
        <f>'bieu 54'!N75</f>
        <v>0</v>
      </c>
      <c r="S76" s="299">
        <f>'bieu 54'!O75</f>
        <v>0</v>
      </c>
      <c r="T76" s="204">
        <f t="shared" si="4"/>
        <v>116.08346596994903</v>
      </c>
      <c r="U76" s="204" t="e">
        <f t="shared" si="5"/>
        <v>#DIV/0!</v>
      </c>
      <c r="V76" s="204">
        <f t="shared" si="6"/>
        <v>116.08346596994903</v>
      </c>
      <c r="W76" s="65"/>
      <c r="X76" s="65"/>
    </row>
    <row r="77" spans="1:24" s="64" customFormat="1" ht="25.5">
      <c r="A77" s="207">
        <v>65</v>
      </c>
      <c r="B77" s="205" t="s">
        <v>621</v>
      </c>
      <c r="C77" s="313">
        <f>'bieu 54'!C76</f>
        <v>3171.12</v>
      </c>
      <c r="D77" s="313">
        <f>'bieu 54'!D76</f>
        <v>0</v>
      </c>
      <c r="E77" s="313">
        <f>'bieu 54'!E76</f>
        <v>3171.12</v>
      </c>
      <c r="F77" s="315">
        <f t="shared" si="7"/>
        <v>3171.12</v>
      </c>
      <c r="G77" s="315"/>
      <c r="H77" s="317"/>
      <c r="I77" s="299">
        <f t="shared" si="2"/>
        <v>3456.815899</v>
      </c>
      <c r="J77" s="313">
        <f>'bieu 54'!H76</f>
        <v>0</v>
      </c>
      <c r="K77" s="315"/>
      <c r="L77" s="315"/>
      <c r="M77" s="313">
        <f>'bieu 54'!I76</f>
        <v>3456.815899</v>
      </c>
      <c r="N77" s="315">
        <f t="shared" si="8"/>
        <v>3456.815899</v>
      </c>
      <c r="O77" s="315"/>
      <c r="P77" s="313">
        <f t="shared" si="3"/>
        <v>0</v>
      </c>
      <c r="Q77" s="313">
        <f>'bieu 54'!M76</f>
        <v>0</v>
      </c>
      <c r="R77" s="313">
        <f>'bieu 54'!N76</f>
        <v>0</v>
      </c>
      <c r="S77" s="299">
        <f>'bieu 54'!O76</f>
        <v>19.520101</v>
      </c>
      <c r="T77" s="204">
        <f t="shared" si="4"/>
        <v>109.00930582885542</v>
      </c>
      <c r="U77" s="204" t="e">
        <f t="shared" si="5"/>
        <v>#DIV/0!</v>
      </c>
      <c r="V77" s="204">
        <f t="shared" si="6"/>
        <v>109.00930582885542</v>
      </c>
      <c r="W77" s="65"/>
      <c r="X77" s="65"/>
    </row>
    <row r="78" spans="1:24" s="64" customFormat="1" ht="25.5">
      <c r="A78" s="207">
        <v>66</v>
      </c>
      <c r="B78" s="205" t="s">
        <v>622</v>
      </c>
      <c r="C78" s="313">
        <f>'bieu 54'!C77</f>
        <v>4013.41</v>
      </c>
      <c r="D78" s="313">
        <f>'bieu 54'!D77</f>
        <v>0</v>
      </c>
      <c r="E78" s="313">
        <f>'bieu 54'!E77</f>
        <v>4013.41</v>
      </c>
      <c r="F78" s="315">
        <f t="shared" si="7"/>
        <v>4013.41</v>
      </c>
      <c r="G78" s="315"/>
      <c r="H78" s="317"/>
      <c r="I78" s="299">
        <f t="shared" si="2"/>
        <v>4650.788</v>
      </c>
      <c r="J78" s="313">
        <f>'bieu 54'!H77</f>
        <v>0</v>
      </c>
      <c r="K78" s="315"/>
      <c r="L78" s="315"/>
      <c r="M78" s="313">
        <f>'bieu 54'!I77</f>
        <v>4650.788</v>
      </c>
      <c r="N78" s="315">
        <f t="shared" si="8"/>
        <v>4650.788</v>
      </c>
      <c r="O78" s="315"/>
      <c r="P78" s="313">
        <f t="shared" si="3"/>
        <v>0</v>
      </c>
      <c r="Q78" s="313">
        <f>'bieu 54'!M77</f>
        <v>0</v>
      </c>
      <c r="R78" s="313">
        <f>'bieu 54'!N77</f>
        <v>0</v>
      </c>
      <c r="S78" s="299">
        <f>'bieu 54'!O77</f>
        <v>0</v>
      </c>
      <c r="T78" s="204">
        <f t="shared" si="4"/>
        <v>115.88120824934407</v>
      </c>
      <c r="U78" s="204" t="e">
        <f t="shared" si="5"/>
        <v>#DIV/0!</v>
      </c>
      <c r="V78" s="204">
        <f t="shared" si="6"/>
        <v>115.88120824934407</v>
      </c>
      <c r="W78" s="65"/>
      <c r="X78" s="65"/>
    </row>
    <row r="79" spans="1:24" s="64" customFormat="1" ht="28.5" customHeight="1">
      <c r="A79" s="207">
        <v>67</v>
      </c>
      <c r="B79" s="205" t="s">
        <v>624</v>
      </c>
      <c r="C79" s="313">
        <f>'bieu 54'!C78</f>
        <v>4704.43</v>
      </c>
      <c r="D79" s="313">
        <f>'bieu 54'!D78</f>
        <v>0</v>
      </c>
      <c r="E79" s="313">
        <f>'bieu 54'!E78</f>
        <v>4704.43</v>
      </c>
      <c r="F79" s="315">
        <f t="shared" si="7"/>
        <v>4704.43</v>
      </c>
      <c r="G79" s="315"/>
      <c r="H79" s="317"/>
      <c r="I79" s="299">
        <f aca="true" t="shared" si="9" ref="I79:I109">J79+M79+P79</f>
        <v>5248.576</v>
      </c>
      <c r="J79" s="313">
        <f>'bieu 54'!H78</f>
        <v>0</v>
      </c>
      <c r="K79" s="315"/>
      <c r="L79" s="315"/>
      <c r="M79" s="313">
        <f>'bieu 54'!I78</f>
        <v>5248.576</v>
      </c>
      <c r="N79" s="315">
        <f t="shared" si="8"/>
        <v>5248.576</v>
      </c>
      <c r="O79" s="315"/>
      <c r="P79" s="313">
        <f aca="true" t="shared" si="10" ref="P79:P109">Q79+R79</f>
        <v>0</v>
      </c>
      <c r="Q79" s="313">
        <f>'bieu 54'!M78</f>
        <v>0</v>
      </c>
      <c r="R79" s="313">
        <f>'bieu 54'!N78</f>
        <v>0</v>
      </c>
      <c r="S79" s="299">
        <f>'bieu 54'!O78</f>
        <v>25.058</v>
      </c>
      <c r="T79" s="204">
        <f aca="true" t="shared" si="11" ref="T79:T109">I79/C79*100</f>
        <v>111.56667226422753</v>
      </c>
      <c r="U79" s="204" t="e">
        <f aca="true" t="shared" si="12" ref="U79:U109">J79/D79*100</f>
        <v>#DIV/0!</v>
      </c>
      <c r="V79" s="204">
        <f aca="true" t="shared" si="13" ref="V79:V109">M79/E79*100</f>
        <v>111.56667226422753</v>
      </c>
      <c r="W79" s="65"/>
      <c r="X79" s="65"/>
    </row>
    <row r="80" spans="1:24" s="64" customFormat="1" ht="28.5" customHeight="1">
      <c r="A80" s="207">
        <v>68</v>
      </c>
      <c r="B80" s="205" t="s">
        <v>322</v>
      </c>
      <c r="C80" s="313">
        <f>'bieu 54'!C79</f>
        <v>3615.202</v>
      </c>
      <c r="D80" s="313">
        <f>'bieu 54'!D79</f>
        <v>0</v>
      </c>
      <c r="E80" s="313">
        <f>'bieu 54'!E79</f>
        <v>3615.202</v>
      </c>
      <c r="F80" s="315">
        <f t="shared" si="7"/>
        <v>3615.202</v>
      </c>
      <c r="G80" s="315"/>
      <c r="H80" s="317"/>
      <c r="I80" s="299">
        <f t="shared" si="9"/>
        <v>4232.7815</v>
      </c>
      <c r="J80" s="313">
        <f>'bieu 54'!H79</f>
        <v>0</v>
      </c>
      <c r="K80" s="315"/>
      <c r="L80" s="315"/>
      <c r="M80" s="313">
        <f>'bieu 54'!I79</f>
        <v>4232.7815</v>
      </c>
      <c r="N80" s="315">
        <f t="shared" si="8"/>
        <v>4232.7815</v>
      </c>
      <c r="O80" s="315"/>
      <c r="P80" s="313">
        <f t="shared" si="10"/>
        <v>0</v>
      </c>
      <c r="Q80" s="313">
        <f>'bieu 54'!M79</f>
        <v>0</v>
      </c>
      <c r="R80" s="313">
        <f>'bieu 54'!N79</f>
        <v>0</v>
      </c>
      <c r="S80" s="299">
        <f>'bieu 54'!O79</f>
        <v>5.7645</v>
      </c>
      <c r="T80" s="204">
        <f t="shared" si="11"/>
        <v>117.08284903582151</v>
      </c>
      <c r="U80" s="204" t="e">
        <f t="shared" si="12"/>
        <v>#DIV/0!</v>
      </c>
      <c r="V80" s="204">
        <f t="shared" si="13"/>
        <v>117.08284903582151</v>
      </c>
      <c r="W80" s="65"/>
      <c r="X80" s="65"/>
    </row>
    <row r="81" spans="1:24" s="64" customFormat="1" ht="28.5" customHeight="1">
      <c r="A81" s="207">
        <v>69</v>
      </c>
      <c r="B81" s="205" t="s">
        <v>323</v>
      </c>
      <c r="C81" s="313">
        <f>'bieu 54'!C80</f>
        <v>3343.455</v>
      </c>
      <c r="D81" s="313">
        <f>'bieu 54'!D80</f>
        <v>0</v>
      </c>
      <c r="E81" s="313">
        <f>'bieu 54'!E80</f>
        <v>3343.455</v>
      </c>
      <c r="F81" s="315">
        <f t="shared" si="7"/>
        <v>3343.455</v>
      </c>
      <c r="G81" s="315"/>
      <c r="H81" s="317"/>
      <c r="I81" s="299">
        <f t="shared" si="9"/>
        <v>3709.0685</v>
      </c>
      <c r="J81" s="313">
        <f>'bieu 54'!H80</f>
        <v>0</v>
      </c>
      <c r="K81" s="315"/>
      <c r="L81" s="315"/>
      <c r="M81" s="313">
        <f>'bieu 54'!I80</f>
        <v>3709.0685</v>
      </c>
      <c r="N81" s="315">
        <f t="shared" si="8"/>
        <v>3709.0685</v>
      </c>
      <c r="O81" s="315"/>
      <c r="P81" s="313">
        <f t="shared" si="10"/>
        <v>0</v>
      </c>
      <c r="Q81" s="313">
        <f>'bieu 54'!M80</f>
        <v>0</v>
      </c>
      <c r="R81" s="313">
        <f>'bieu 54'!N80</f>
        <v>0</v>
      </c>
      <c r="S81" s="299">
        <f>'bieu 54'!O80</f>
        <v>2.2645</v>
      </c>
      <c r="T81" s="204">
        <f t="shared" si="11"/>
        <v>110.93520026439717</v>
      </c>
      <c r="U81" s="204" t="e">
        <f t="shared" si="12"/>
        <v>#DIV/0!</v>
      </c>
      <c r="V81" s="204">
        <f t="shared" si="13"/>
        <v>110.93520026439717</v>
      </c>
      <c r="W81" s="65"/>
      <c r="X81" s="65"/>
    </row>
    <row r="82" spans="1:24" s="64" customFormat="1" ht="28.5" customHeight="1">
      <c r="A82" s="207">
        <v>70</v>
      </c>
      <c r="B82" s="205" t="s">
        <v>324</v>
      </c>
      <c r="C82" s="313">
        <f>'bieu 54'!C81</f>
        <v>7392.488</v>
      </c>
      <c r="D82" s="313">
        <f>'bieu 54'!D81</f>
        <v>0</v>
      </c>
      <c r="E82" s="313">
        <f>'bieu 54'!E81</f>
        <v>7392.488</v>
      </c>
      <c r="F82" s="315">
        <f t="shared" si="7"/>
        <v>7392.488</v>
      </c>
      <c r="G82" s="315"/>
      <c r="H82" s="317"/>
      <c r="I82" s="299">
        <f t="shared" si="9"/>
        <v>7985.923</v>
      </c>
      <c r="J82" s="313">
        <f>'bieu 54'!H81</f>
        <v>0</v>
      </c>
      <c r="K82" s="315"/>
      <c r="L82" s="315"/>
      <c r="M82" s="313">
        <f>'bieu 54'!I81</f>
        <v>7985.923</v>
      </c>
      <c r="N82" s="315">
        <f t="shared" si="8"/>
        <v>7985.923</v>
      </c>
      <c r="O82" s="315"/>
      <c r="P82" s="313">
        <f t="shared" si="10"/>
        <v>0</v>
      </c>
      <c r="Q82" s="313">
        <f>'bieu 54'!M81</f>
        <v>0</v>
      </c>
      <c r="R82" s="313">
        <f>'bieu 54'!N81</f>
        <v>0</v>
      </c>
      <c r="S82" s="299">
        <f>'bieu 54'!O81</f>
        <v>0</v>
      </c>
      <c r="T82" s="204">
        <f t="shared" si="11"/>
        <v>108.0275409307394</v>
      </c>
      <c r="U82" s="204" t="e">
        <f t="shared" si="12"/>
        <v>#DIV/0!</v>
      </c>
      <c r="V82" s="204">
        <f t="shared" si="13"/>
        <v>108.0275409307394</v>
      </c>
      <c r="W82" s="65"/>
      <c r="X82" s="65"/>
    </row>
    <row r="83" spans="1:24" s="64" customFormat="1" ht="28.5" customHeight="1">
      <c r="A83" s="207">
        <v>71</v>
      </c>
      <c r="B83" s="205" t="s">
        <v>325</v>
      </c>
      <c r="C83" s="313">
        <f>'bieu 54'!C82</f>
        <v>5211.398</v>
      </c>
      <c r="D83" s="313">
        <f>'bieu 54'!D82</f>
        <v>0</v>
      </c>
      <c r="E83" s="313">
        <f>'bieu 54'!E82</f>
        <v>5211.398</v>
      </c>
      <c r="F83" s="315">
        <f t="shared" si="7"/>
        <v>5211.398</v>
      </c>
      <c r="G83" s="315"/>
      <c r="H83" s="317"/>
      <c r="I83" s="299">
        <f t="shared" si="9"/>
        <v>5654.262</v>
      </c>
      <c r="J83" s="313">
        <f>'bieu 54'!H82</f>
        <v>0</v>
      </c>
      <c r="K83" s="315"/>
      <c r="L83" s="315"/>
      <c r="M83" s="313">
        <f>'bieu 54'!I82</f>
        <v>5654.262</v>
      </c>
      <c r="N83" s="315">
        <f t="shared" si="8"/>
        <v>5654.262</v>
      </c>
      <c r="O83" s="315"/>
      <c r="P83" s="313">
        <f t="shared" si="10"/>
        <v>0</v>
      </c>
      <c r="Q83" s="313">
        <f>'bieu 54'!M82</f>
        <v>0</v>
      </c>
      <c r="R83" s="313">
        <f>'bieu 54'!N82</f>
        <v>0</v>
      </c>
      <c r="S83" s="299">
        <f>'bieu 54'!O82</f>
        <v>15.211</v>
      </c>
      <c r="T83" s="204">
        <f t="shared" si="11"/>
        <v>108.4979884476296</v>
      </c>
      <c r="U83" s="204" t="e">
        <f t="shared" si="12"/>
        <v>#DIV/0!</v>
      </c>
      <c r="V83" s="204">
        <f t="shared" si="13"/>
        <v>108.4979884476296</v>
      </c>
      <c r="W83" s="65"/>
      <c r="X83" s="65"/>
    </row>
    <row r="84" spans="1:24" s="64" customFormat="1" ht="28.5" customHeight="1">
      <c r="A84" s="207">
        <v>72</v>
      </c>
      <c r="B84" s="205" t="s">
        <v>326</v>
      </c>
      <c r="C84" s="313">
        <f>'bieu 54'!C83</f>
        <v>3860.415</v>
      </c>
      <c r="D84" s="313">
        <f>'bieu 54'!D83</f>
        <v>0</v>
      </c>
      <c r="E84" s="313">
        <f>'bieu 54'!E83</f>
        <v>3860.415</v>
      </c>
      <c r="F84" s="315">
        <f t="shared" si="7"/>
        <v>3860.415</v>
      </c>
      <c r="G84" s="315"/>
      <c r="H84" s="317"/>
      <c r="I84" s="299">
        <f t="shared" si="9"/>
        <v>4248.745</v>
      </c>
      <c r="J84" s="313">
        <f>'bieu 54'!H83</f>
        <v>0</v>
      </c>
      <c r="K84" s="315"/>
      <c r="L84" s="315"/>
      <c r="M84" s="313">
        <f>'bieu 54'!I83</f>
        <v>4248.745</v>
      </c>
      <c r="N84" s="315">
        <f t="shared" si="8"/>
        <v>4248.745</v>
      </c>
      <c r="O84" s="315"/>
      <c r="P84" s="313">
        <f t="shared" si="10"/>
        <v>0</v>
      </c>
      <c r="Q84" s="313">
        <f>'bieu 54'!M83</f>
        <v>0</v>
      </c>
      <c r="R84" s="313">
        <f>'bieu 54'!N83</f>
        <v>0</v>
      </c>
      <c r="S84" s="299">
        <f>'bieu 54'!O83</f>
        <v>0</v>
      </c>
      <c r="T84" s="204">
        <f t="shared" si="11"/>
        <v>110.05928119127088</v>
      </c>
      <c r="U84" s="204" t="e">
        <f t="shared" si="12"/>
        <v>#DIV/0!</v>
      </c>
      <c r="V84" s="204">
        <f t="shared" si="13"/>
        <v>110.05928119127088</v>
      </c>
      <c r="W84" s="65"/>
      <c r="X84" s="65"/>
    </row>
    <row r="85" spans="1:24" s="64" customFormat="1" ht="28.5" customHeight="1">
      <c r="A85" s="207">
        <v>73</v>
      </c>
      <c r="B85" s="203" t="s">
        <v>327</v>
      </c>
      <c r="C85" s="313">
        <f>'bieu 54'!C84</f>
        <v>3582.315</v>
      </c>
      <c r="D85" s="313">
        <f>'bieu 54'!D84</f>
        <v>0</v>
      </c>
      <c r="E85" s="313">
        <f>'bieu 54'!E84</f>
        <v>3582.315</v>
      </c>
      <c r="F85" s="315">
        <f t="shared" si="7"/>
        <v>3582.315</v>
      </c>
      <c r="G85" s="315"/>
      <c r="H85" s="317"/>
      <c r="I85" s="299">
        <f t="shared" si="9"/>
        <v>4007.0055</v>
      </c>
      <c r="J85" s="313">
        <f>'bieu 54'!H84</f>
        <v>0</v>
      </c>
      <c r="K85" s="315"/>
      <c r="L85" s="315"/>
      <c r="M85" s="313">
        <f>'bieu 54'!I84</f>
        <v>4007.0055</v>
      </c>
      <c r="N85" s="315">
        <f t="shared" si="8"/>
        <v>4007.0055</v>
      </c>
      <c r="O85" s="315"/>
      <c r="P85" s="313">
        <f t="shared" si="10"/>
        <v>0</v>
      </c>
      <c r="Q85" s="313">
        <f>'bieu 54'!M84</f>
        <v>0</v>
      </c>
      <c r="R85" s="313">
        <f>'bieu 54'!N84</f>
        <v>0</v>
      </c>
      <c r="S85" s="299">
        <f>'bieu 54'!O84</f>
        <v>0</v>
      </c>
      <c r="T85" s="204">
        <f t="shared" si="11"/>
        <v>111.85519698853955</v>
      </c>
      <c r="U85" s="204" t="e">
        <f t="shared" si="12"/>
        <v>#DIV/0!</v>
      </c>
      <c r="V85" s="204">
        <f t="shared" si="13"/>
        <v>111.85519698853955</v>
      </c>
      <c r="W85" s="65"/>
      <c r="X85" s="65"/>
    </row>
    <row r="86" spans="1:24" s="64" customFormat="1" ht="28.5" customHeight="1">
      <c r="A86" s="207">
        <v>74</v>
      </c>
      <c r="B86" s="203" t="s">
        <v>328</v>
      </c>
      <c r="C86" s="313">
        <f>'bieu 54'!C85</f>
        <v>4250.216</v>
      </c>
      <c r="D86" s="313">
        <f>'bieu 54'!D85</f>
        <v>0</v>
      </c>
      <c r="E86" s="313">
        <f>'bieu 54'!E85</f>
        <v>4250.216</v>
      </c>
      <c r="F86" s="315">
        <f t="shared" si="7"/>
        <v>4250.216</v>
      </c>
      <c r="G86" s="315"/>
      <c r="H86" s="317"/>
      <c r="I86" s="299">
        <f t="shared" si="9"/>
        <v>4977.894334</v>
      </c>
      <c r="J86" s="313">
        <f>'bieu 54'!H85</f>
        <v>0</v>
      </c>
      <c r="K86" s="315"/>
      <c r="L86" s="315"/>
      <c r="M86" s="313">
        <f>'bieu 54'!I85</f>
        <v>4977.894334</v>
      </c>
      <c r="N86" s="315">
        <f t="shared" si="8"/>
        <v>4977.894334</v>
      </c>
      <c r="O86" s="315"/>
      <c r="P86" s="313">
        <f t="shared" si="10"/>
        <v>0</v>
      </c>
      <c r="Q86" s="313">
        <f>'bieu 54'!M85</f>
        <v>0</v>
      </c>
      <c r="R86" s="313">
        <f>'bieu 54'!N85</f>
        <v>0</v>
      </c>
      <c r="S86" s="299">
        <f>'bieu 54'!O85</f>
        <v>0</v>
      </c>
      <c r="T86" s="204">
        <f t="shared" si="11"/>
        <v>117.12097300466611</v>
      </c>
      <c r="U86" s="204" t="e">
        <f t="shared" si="12"/>
        <v>#DIV/0!</v>
      </c>
      <c r="V86" s="204">
        <f t="shared" si="13"/>
        <v>117.12097300466611</v>
      </c>
      <c r="W86" s="65"/>
      <c r="X86" s="65"/>
    </row>
    <row r="87" spans="1:24" s="64" customFormat="1" ht="28.5" customHeight="1">
      <c r="A87" s="207">
        <v>75</v>
      </c>
      <c r="B87" s="203" t="s">
        <v>329</v>
      </c>
      <c r="C87" s="313">
        <f>'bieu 54'!C86</f>
        <v>3185.488</v>
      </c>
      <c r="D87" s="313">
        <f>'bieu 54'!D86</f>
        <v>0</v>
      </c>
      <c r="E87" s="313">
        <f>'bieu 54'!E86</f>
        <v>3185.488</v>
      </c>
      <c r="F87" s="315">
        <f>E87</f>
        <v>3185.488</v>
      </c>
      <c r="G87" s="315"/>
      <c r="H87" s="317"/>
      <c r="I87" s="299">
        <f>J87+M87+P87</f>
        <v>1976.7599</v>
      </c>
      <c r="J87" s="313">
        <f>'bieu 54'!H86</f>
        <v>0</v>
      </c>
      <c r="K87" s="315"/>
      <c r="L87" s="315"/>
      <c r="M87" s="313">
        <f>'bieu 54'!I86</f>
        <v>1976.7599</v>
      </c>
      <c r="N87" s="315">
        <f>M87</f>
        <v>1976.7599</v>
      </c>
      <c r="O87" s="315"/>
      <c r="P87" s="313"/>
      <c r="Q87" s="313"/>
      <c r="R87" s="313"/>
      <c r="S87" s="299"/>
      <c r="T87" s="204">
        <f>I87/C87*100</f>
        <v>62.055167057606255</v>
      </c>
      <c r="U87" s="204" t="e">
        <f>J87/D87*100</f>
        <v>#DIV/0!</v>
      </c>
      <c r="V87" s="204">
        <f>M87/E87*100</f>
        <v>62.055167057606255</v>
      </c>
      <c r="W87" s="65"/>
      <c r="X87" s="65"/>
    </row>
    <row r="88" spans="1:24" s="64" customFormat="1" ht="28.5" customHeight="1">
      <c r="A88" s="207">
        <v>76</v>
      </c>
      <c r="B88" s="203" t="s">
        <v>726</v>
      </c>
      <c r="C88" s="313">
        <f>'bieu 54'!C87</f>
        <v>0</v>
      </c>
      <c r="D88" s="313">
        <f>'bieu 54'!D87</f>
        <v>0</v>
      </c>
      <c r="E88" s="313">
        <f>'bieu 54'!E87</f>
        <v>0</v>
      </c>
      <c r="F88" s="315">
        <f>E88</f>
        <v>0</v>
      </c>
      <c r="G88" s="315"/>
      <c r="H88" s="317"/>
      <c r="I88" s="299">
        <f>J88+M88+P88</f>
        <v>3340.6424</v>
      </c>
      <c r="J88" s="313">
        <f>'bieu 54'!H87</f>
        <v>0</v>
      </c>
      <c r="K88" s="315"/>
      <c r="L88" s="315"/>
      <c r="M88" s="313">
        <f>'bieu 54'!I87</f>
        <v>3340.6424</v>
      </c>
      <c r="N88" s="315">
        <f>M88</f>
        <v>3340.6424</v>
      </c>
      <c r="O88" s="315"/>
      <c r="P88" s="313">
        <f t="shared" si="10"/>
        <v>0</v>
      </c>
      <c r="Q88" s="313">
        <f>'bieu 54'!M87</f>
        <v>0</v>
      </c>
      <c r="R88" s="313">
        <f>'bieu 54'!N87</f>
        <v>0</v>
      </c>
      <c r="S88" s="299">
        <f>'bieu 54'!O87</f>
        <v>7.273</v>
      </c>
      <c r="T88" s="204" t="e">
        <f>I88/C88*100</f>
        <v>#DIV/0!</v>
      </c>
      <c r="U88" s="204" t="e">
        <f>J88/D88*100</f>
        <v>#DIV/0!</v>
      </c>
      <c r="V88" s="204" t="e">
        <f>M88/E88*100</f>
        <v>#DIV/0!</v>
      </c>
      <c r="W88" s="65"/>
      <c r="X88" s="65"/>
    </row>
    <row r="89" spans="1:24" s="64" customFormat="1" ht="28.5" customHeight="1">
      <c r="A89" s="207">
        <v>77</v>
      </c>
      <c r="B89" s="205" t="s">
        <v>330</v>
      </c>
      <c r="C89" s="313">
        <f>'bieu 54'!C88</f>
        <v>2602.475</v>
      </c>
      <c r="D89" s="313">
        <f>'bieu 54'!D88</f>
        <v>0</v>
      </c>
      <c r="E89" s="313">
        <f>'bieu 54'!E88</f>
        <v>2602.475</v>
      </c>
      <c r="F89" s="315">
        <f t="shared" si="7"/>
        <v>2602.475</v>
      </c>
      <c r="G89" s="315"/>
      <c r="H89" s="317"/>
      <c r="I89" s="299">
        <f t="shared" si="9"/>
        <v>2922.189</v>
      </c>
      <c r="J89" s="313">
        <f>'bieu 54'!H88</f>
        <v>0</v>
      </c>
      <c r="K89" s="315"/>
      <c r="L89" s="315"/>
      <c r="M89" s="313">
        <f>'bieu 54'!I88</f>
        <v>2922.189</v>
      </c>
      <c r="N89" s="315">
        <f t="shared" si="8"/>
        <v>2922.189</v>
      </c>
      <c r="O89" s="315"/>
      <c r="P89" s="313">
        <f t="shared" si="10"/>
        <v>0</v>
      </c>
      <c r="Q89" s="313">
        <f>'bieu 54'!M88</f>
        <v>0</v>
      </c>
      <c r="R89" s="313">
        <f>'bieu 54'!N88</f>
        <v>0</v>
      </c>
      <c r="S89" s="299">
        <f>'bieu 54'!O88</f>
        <v>0</v>
      </c>
      <c r="T89" s="204">
        <f t="shared" si="11"/>
        <v>112.28499793465836</v>
      </c>
      <c r="U89" s="204" t="e">
        <f t="shared" si="12"/>
        <v>#DIV/0!</v>
      </c>
      <c r="V89" s="204">
        <f t="shared" si="13"/>
        <v>112.28499793465836</v>
      </c>
      <c r="W89" s="65"/>
      <c r="X89" s="65"/>
    </row>
    <row r="90" spans="1:24" s="64" customFormat="1" ht="28.5" customHeight="1">
      <c r="A90" s="207">
        <v>78</v>
      </c>
      <c r="B90" s="205" t="s">
        <v>331</v>
      </c>
      <c r="C90" s="313">
        <f>'bieu 54'!C89</f>
        <v>5771.454</v>
      </c>
      <c r="D90" s="313">
        <f>'bieu 54'!D89</f>
        <v>0</v>
      </c>
      <c r="E90" s="313">
        <f>'bieu 54'!E89</f>
        <v>5771.454</v>
      </c>
      <c r="F90" s="315">
        <f t="shared" si="7"/>
        <v>5771.454</v>
      </c>
      <c r="G90" s="315"/>
      <c r="H90" s="317"/>
      <c r="I90" s="299">
        <f t="shared" si="9"/>
        <v>6501.885</v>
      </c>
      <c r="J90" s="313">
        <f>'bieu 54'!H89</f>
        <v>0</v>
      </c>
      <c r="K90" s="315"/>
      <c r="L90" s="315"/>
      <c r="M90" s="313">
        <f>'bieu 54'!I89</f>
        <v>6501.885</v>
      </c>
      <c r="N90" s="315">
        <f t="shared" si="8"/>
        <v>6501.885</v>
      </c>
      <c r="O90" s="315"/>
      <c r="P90" s="313">
        <f t="shared" si="10"/>
        <v>0</v>
      </c>
      <c r="Q90" s="313">
        <f>'bieu 54'!M89</f>
        <v>0</v>
      </c>
      <c r="R90" s="313">
        <f>'bieu 54'!N89</f>
        <v>0</v>
      </c>
      <c r="S90" s="299">
        <f>'bieu 54'!O89</f>
        <v>7.28</v>
      </c>
      <c r="T90" s="204">
        <f t="shared" si="11"/>
        <v>112.65592691200519</v>
      </c>
      <c r="U90" s="204" t="e">
        <f t="shared" si="12"/>
        <v>#DIV/0!</v>
      </c>
      <c r="V90" s="204">
        <f t="shared" si="13"/>
        <v>112.65592691200519</v>
      </c>
      <c r="W90" s="65"/>
      <c r="X90" s="65"/>
    </row>
    <row r="91" spans="1:24" s="64" customFormat="1" ht="28.5" customHeight="1">
      <c r="A91" s="207">
        <v>79</v>
      </c>
      <c r="B91" s="205" t="s">
        <v>332</v>
      </c>
      <c r="C91" s="313">
        <f>'bieu 54'!C90</f>
        <v>2744.825</v>
      </c>
      <c r="D91" s="313">
        <f>'bieu 54'!D90</f>
        <v>0</v>
      </c>
      <c r="E91" s="313">
        <f>'bieu 54'!E90</f>
        <v>2744.825</v>
      </c>
      <c r="F91" s="315">
        <f t="shared" si="7"/>
        <v>2744.825</v>
      </c>
      <c r="G91" s="315"/>
      <c r="H91" s="317"/>
      <c r="I91" s="299">
        <f t="shared" si="9"/>
        <v>3315.4175</v>
      </c>
      <c r="J91" s="313">
        <f>'bieu 54'!H90</f>
        <v>0</v>
      </c>
      <c r="K91" s="315"/>
      <c r="L91" s="315"/>
      <c r="M91" s="313">
        <f>'bieu 54'!I90</f>
        <v>3315.4175</v>
      </c>
      <c r="N91" s="315">
        <f t="shared" si="8"/>
        <v>3315.4175</v>
      </c>
      <c r="O91" s="315"/>
      <c r="P91" s="313">
        <f t="shared" si="10"/>
        <v>0</v>
      </c>
      <c r="Q91" s="313">
        <f>'bieu 54'!M90</f>
        <v>0</v>
      </c>
      <c r="R91" s="313">
        <f>'bieu 54'!N90</f>
        <v>0</v>
      </c>
      <c r="S91" s="299">
        <f>'bieu 54'!O90</f>
        <v>0</v>
      </c>
      <c r="T91" s="204">
        <f t="shared" si="11"/>
        <v>120.7879373001922</v>
      </c>
      <c r="U91" s="204" t="e">
        <f t="shared" si="12"/>
        <v>#DIV/0!</v>
      </c>
      <c r="V91" s="204">
        <f t="shared" si="13"/>
        <v>120.7879373001922</v>
      </c>
      <c r="W91" s="65"/>
      <c r="X91" s="65"/>
    </row>
    <row r="92" spans="1:24" s="64" customFormat="1" ht="28.5" customHeight="1">
      <c r="A92" s="207">
        <v>80</v>
      </c>
      <c r="B92" s="205" t="s">
        <v>293</v>
      </c>
      <c r="C92" s="313">
        <f>'bieu 54'!C91</f>
        <v>2427.135</v>
      </c>
      <c r="D92" s="313">
        <f>'bieu 54'!D91</f>
        <v>0</v>
      </c>
      <c r="E92" s="313">
        <f>'bieu 54'!E91</f>
        <v>2427.135</v>
      </c>
      <c r="F92" s="315">
        <f t="shared" si="7"/>
        <v>2427.135</v>
      </c>
      <c r="G92" s="315"/>
      <c r="H92" s="317"/>
      <c r="I92" s="299">
        <f t="shared" si="9"/>
        <v>2627.1375</v>
      </c>
      <c r="J92" s="313">
        <f>'bieu 54'!H91</f>
        <v>0</v>
      </c>
      <c r="K92" s="315"/>
      <c r="L92" s="315"/>
      <c r="M92" s="313">
        <f>'bieu 54'!I91</f>
        <v>2627.1375</v>
      </c>
      <c r="N92" s="315">
        <f t="shared" si="8"/>
        <v>2627.1375</v>
      </c>
      <c r="O92" s="315"/>
      <c r="P92" s="313">
        <f t="shared" si="10"/>
        <v>0</v>
      </c>
      <c r="Q92" s="313">
        <f>'bieu 54'!M91</f>
        <v>0</v>
      </c>
      <c r="R92" s="313">
        <f>'bieu 54'!N91</f>
        <v>0</v>
      </c>
      <c r="S92" s="299">
        <f>'bieu 54'!O91</f>
        <v>1.897</v>
      </c>
      <c r="T92" s="204">
        <f t="shared" si="11"/>
        <v>108.24027093672169</v>
      </c>
      <c r="U92" s="204" t="e">
        <f t="shared" si="12"/>
        <v>#DIV/0!</v>
      </c>
      <c r="V92" s="204">
        <f t="shared" si="13"/>
        <v>108.24027093672169</v>
      </c>
      <c r="W92" s="65"/>
      <c r="X92" s="65"/>
    </row>
    <row r="93" spans="1:24" s="64" customFormat="1" ht="28.5" customHeight="1">
      <c r="A93" s="207">
        <v>81</v>
      </c>
      <c r="B93" s="205" t="s">
        <v>485</v>
      </c>
      <c r="C93" s="313">
        <f>'bieu 54'!C92</f>
        <v>5258.484</v>
      </c>
      <c r="D93" s="313">
        <f>'bieu 54'!D92</f>
        <v>0</v>
      </c>
      <c r="E93" s="313">
        <f>'bieu 54'!E92</f>
        <v>5258.484</v>
      </c>
      <c r="F93" s="315">
        <f t="shared" si="7"/>
        <v>5258.484</v>
      </c>
      <c r="G93" s="315"/>
      <c r="H93" s="317"/>
      <c r="I93" s="299">
        <f t="shared" si="9"/>
        <v>6078.018</v>
      </c>
      <c r="J93" s="313">
        <f>'bieu 54'!H92</f>
        <v>0</v>
      </c>
      <c r="K93" s="315"/>
      <c r="L93" s="315"/>
      <c r="M93" s="313">
        <f>'bieu 54'!I92</f>
        <v>6078.018</v>
      </c>
      <c r="N93" s="315">
        <f t="shared" si="8"/>
        <v>6078.018</v>
      </c>
      <c r="O93" s="315"/>
      <c r="P93" s="313">
        <f t="shared" si="10"/>
        <v>0</v>
      </c>
      <c r="Q93" s="313">
        <f>'bieu 54'!M92</f>
        <v>0</v>
      </c>
      <c r="R93" s="313">
        <f>'bieu 54'!N92</f>
        <v>0</v>
      </c>
      <c r="S93" s="299">
        <f>'bieu 54'!O92</f>
        <v>0.05</v>
      </c>
      <c r="T93" s="204">
        <f t="shared" si="11"/>
        <v>115.58498609104828</v>
      </c>
      <c r="U93" s="204" t="e">
        <f t="shared" si="12"/>
        <v>#DIV/0!</v>
      </c>
      <c r="V93" s="204">
        <f t="shared" si="13"/>
        <v>115.58498609104828</v>
      </c>
      <c r="W93" s="65"/>
      <c r="X93" s="65"/>
    </row>
    <row r="94" spans="1:24" s="64" customFormat="1" ht="28.5" customHeight="1">
      <c r="A94" s="207">
        <v>82</v>
      </c>
      <c r="B94" s="205" t="s">
        <v>333</v>
      </c>
      <c r="C94" s="313">
        <f>'bieu 54'!C93</f>
        <v>4619.245</v>
      </c>
      <c r="D94" s="313">
        <f>'bieu 54'!D93</f>
        <v>0</v>
      </c>
      <c r="E94" s="313">
        <f>'bieu 54'!E93</f>
        <v>4619.245</v>
      </c>
      <c r="F94" s="315">
        <f t="shared" si="7"/>
        <v>4619.245</v>
      </c>
      <c r="G94" s="315"/>
      <c r="H94" s="317"/>
      <c r="I94" s="299">
        <f t="shared" si="9"/>
        <v>5261.5865</v>
      </c>
      <c r="J94" s="313">
        <f>'bieu 54'!H93</f>
        <v>0</v>
      </c>
      <c r="K94" s="315"/>
      <c r="L94" s="315"/>
      <c r="M94" s="313">
        <f>'bieu 54'!I93</f>
        <v>5261.5865</v>
      </c>
      <c r="N94" s="315">
        <f t="shared" si="8"/>
        <v>5261.5865</v>
      </c>
      <c r="O94" s="315"/>
      <c r="P94" s="313">
        <f t="shared" si="10"/>
        <v>0</v>
      </c>
      <c r="Q94" s="313">
        <f>'bieu 54'!M93</f>
        <v>0</v>
      </c>
      <c r="R94" s="313">
        <f>'bieu 54'!N93</f>
        <v>0</v>
      </c>
      <c r="S94" s="299">
        <f>'bieu 54'!O93</f>
        <v>0</v>
      </c>
      <c r="T94" s="204">
        <f t="shared" si="11"/>
        <v>113.90576815042286</v>
      </c>
      <c r="U94" s="204" t="e">
        <f t="shared" si="12"/>
        <v>#DIV/0!</v>
      </c>
      <c r="V94" s="204">
        <f t="shared" si="13"/>
        <v>113.90576815042286</v>
      </c>
      <c r="W94" s="65"/>
      <c r="X94" s="65"/>
    </row>
    <row r="95" spans="1:24" s="64" customFormat="1" ht="28.5" customHeight="1">
      <c r="A95" s="207">
        <v>83</v>
      </c>
      <c r="B95" s="205" t="s">
        <v>486</v>
      </c>
      <c r="C95" s="313">
        <f>'bieu 54'!C94</f>
        <v>7578.827</v>
      </c>
      <c r="D95" s="313">
        <f>'bieu 54'!D94</f>
        <v>0</v>
      </c>
      <c r="E95" s="313">
        <f>'bieu 54'!E94</f>
        <v>7578.827</v>
      </c>
      <c r="F95" s="315">
        <f t="shared" si="7"/>
        <v>7578.827</v>
      </c>
      <c r="G95" s="315"/>
      <c r="H95" s="317"/>
      <c r="I95" s="299">
        <f t="shared" si="9"/>
        <v>8579.5785</v>
      </c>
      <c r="J95" s="313">
        <f>'bieu 54'!H94</f>
        <v>0</v>
      </c>
      <c r="K95" s="315"/>
      <c r="L95" s="315"/>
      <c r="M95" s="313">
        <f>'bieu 54'!I94</f>
        <v>8579.5785</v>
      </c>
      <c r="N95" s="315">
        <f t="shared" si="8"/>
        <v>8579.5785</v>
      </c>
      <c r="O95" s="315"/>
      <c r="P95" s="313">
        <f t="shared" si="10"/>
        <v>0</v>
      </c>
      <c r="Q95" s="313">
        <f>'bieu 54'!M94</f>
        <v>0</v>
      </c>
      <c r="R95" s="313">
        <f>'bieu 54'!N94</f>
        <v>0</v>
      </c>
      <c r="S95" s="299">
        <f>'bieu 54'!O94</f>
        <v>19.388</v>
      </c>
      <c r="T95" s="204">
        <f t="shared" si="11"/>
        <v>113.20456978368816</v>
      </c>
      <c r="U95" s="204" t="e">
        <f t="shared" si="12"/>
        <v>#DIV/0!</v>
      </c>
      <c r="V95" s="204">
        <f t="shared" si="13"/>
        <v>113.20456978368816</v>
      </c>
      <c r="W95" s="65"/>
      <c r="X95" s="65"/>
    </row>
    <row r="96" spans="1:24" s="64" customFormat="1" ht="28.5" customHeight="1">
      <c r="A96" s="207">
        <v>84</v>
      </c>
      <c r="B96" s="205" t="s">
        <v>498</v>
      </c>
      <c r="C96" s="313">
        <f>'bieu 54'!C95</f>
        <v>4669.61</v>
      </c>
      <c r="D96" s="313">
        <f>'bieu 54'!D95</f>
        <v>0</v>
      </c>
      <c r="E96" s="313">
        <f>'bieu 54'!E95</f>
        <v>4669.61</v>
      </c>
      <c r="F96" s="315">
        <f t="shared" si="7"/>
        <v>4669.61</v>
      </c>
      <c r="G96" s="315"/>
      <c r="H96" s="317"/>
      <c r="I96" s="299">
        <f t="shared" si="9"/>
        <v>5324.9603</v>
      </c>
      <c r="J96" s="313">
        <f>'bieu 54'!H95</f>
        <v>0</v>
      </c>
      <c r="K96" s="315"/>
      <c r="L96" s="315"/>
      <c r="M96" s="313">
        <f>'bieu 54'!I95</f>
        <v>5324.9603</v>
      </c>
      <c r="N96" s="315">
        <f t="shared" si="8"/>
        <v>5324.9603</v>
      </c>
      <c r="O96" s="315"/>
      <c r="P96" s="313">
        <f t="shared" si="10"/>
        <v>0</v>
      </c>
      <c r="Q96" s="313">
        <f>'bieu 54'!M95</f>
        <v>0</v>
      </c>
      <c r="R96" s="313">
        <f>'bieu 54'!N95</f>
        <v>0</v>
      </c>
      <c r="S96" s="299">
        <f>'bieu 54'!O95</f>
        <v>0</v>
      </c>
      <c r="T96" s="204">
        <f t="shared" si="11"/>
        <v>114.03436903724294</v>
      </c>
      <c r="U96" s="204" t="e">
        <f t="shared" si="12"/>
        <v>#DIV/0!</v>
      </c>
      <c r="V96" s="204">
        <f t="shared" si="13"/>
        <v>114.03436903724294</v>
      </c>
      <c r="W96" s="65"/>
      <c r="X96" s="65"/>
    </row>
    <row r="97" spans="1:24" s="64" customFormat="1" ht="28.5" customHeight="1">
      <c r="A97" s="207">
        <v>85</v>
      </c>
      <c r="B97" s="205" t="s">
        <v>623</v>
      </c>
      <c r="C97" s="313">
        <f>'bieu 54'!C96</f>
        <v>2788.99</v>
      </c>
      <c r="D97" s="313">
        <f>'bieu 54'!D96</f>
        <v>0</v>
      </c>
      <c r="E97" s="313">
        <f>'bieu 54'!E96</f>
        <v>2788.99</v>
      </c>
      <c r="F97" s="315">
        <f t="shared" si="7"/>
        <v>2788.99</v>
      </c>
      <c r="G97" s="315"/>
      <c r="H97" s="317"/>
      <c r="I97" s="299">
        <f t="shared" si="9"/>
        <v>3400.414</v>
      </c>
      <c r="J97" s="313">
        <f>'bieu 54'!H96</f>
        <v>0</v>
      </c>
      <c r="K97" s="315"/>
      <c r="L97" s="315"/>
      <c r="M97" s="313">
        <f>'bieu 54'!I96</f>
        <v>3400.414</v>
      </c>
      <c r="N97" s="315">
        <f t="shared" si="8"/>
        <v>3400.414</v>
      </c>
      <c r="O97" s="315"/>
      <c r="P97" s="313">
        <f t="shared" si="10"/>
        <v>0</v>
      </c>
      <c r="Q97" s="313">
        <f>'bieu 54'!M96</f>
        <v>0</v>
      </c>
      <c r="R97" s="313">
        <f>'bieu 54'!N96</f>
        <v>0</v>
      </c>
      <c r="S97" s="299">
        <f>'bieu 54'!O96</f>
        <v>0</v>
      </c>
      <c r="T97" s="204">
        <f t="shared" si="11"/>
        <v>121.92277491134784</v>
      </c>
      <c r="U97" s="204" t="e">
        <f t="shared" si="12"/>
        <v>#DIV/0!</v>
      </c>
      <c r="V97" s="204">
        <f t="shared" si="13"/>
        <v>121.92277491134784</v>
      </c>
      <c r="W97" s="65"/>
      <c r="X97" s="65"/>
    </row>
    <row r="98" spans="1:24" s="64" customFormat="1" ht="28.5" customHeight="1">
      <c r="A98" s="207">
        <v>86</v>
      </c>
      <c r="B98" s="205" t="s">
        <v>463</v>
      </c>
      <c r="C98" s="313">
        <f>'bieu 54'!C97</f>
        <v>1767.82</v>
      </c>
      <c r="D98" s="313">
        <f>'bieu 54'!D97</f>
        <v>0</v>
      </c>
      <c r="E98" s="313">
        <f>'bieu 54'!E97</f>
        <v>1767.82</v>
      </c>
      <c r="F98" s="315"/>
      <c r="G98" s="315"/>
      <c r="H98" s="317"/>
      <c r="I98" s="299">
        <f t="shared" si="9"/>
        <v>3075.288</v>
      </c>
      <c r="J98" s="313">
        <f>'bieu 54'!H97</f>
        <v>0</v>
      </c>
      <c r="K98" s="315"/>
      <c r="L98" s="315"/>
      <c r="M98" s="313">
        <f>'bieu 54'!I97</f>
        <v>3075.288</v>
      </c>
      <c r="N98" s="315"/>
      <c r="O98" s="315"/>
      <c r="P98" s="313">
        <f t="shared" si="10"/>
        <v>0</v>
      </c>
      <c r="Q98" s="313">
        <f>'bieu 54'!M97</f>
        <v>0</v>
      </c>
      <c r="R98" s="313">
        <f>'bieu 54'!N97</f>
        <v>0</v>
      </c>
      <c r="S98" s="299">
        <f>'bieu 54'!O97</f>
        <v>0</v>
      </c>
      <c r="T98" s="204">
        <f t="shared" si="11"/>
        <v>173.95933975178468</v>
      </c>
      <c r="U98" s="204" t="e">
        <f t="shared" si="12"/>
        <v>#DIV/0!</v>
      </c>
      <c r="V98" s="204">
        <f t="shared" si="13"/>
        <v>173.95933975178468</v>
      </c>
      <c r="W98" s="65"/>
      <c r="X98" s="65"/>
    </row>
    <row r="99" spans="1:24" s="64" customFormat="1" ht="28.5" customHeight="1">
      <c r="A99" s="207">
        <v>87</v>
      </c>
      <c r="B99" s="205" t="s">
        <v>428</v>
      </c>
      <c r="C99" s="313">
        <f>'bieu 54'!C98</f>
        <v>1021.48</v>
      </c>
      <c r="D99" s="313">
        <f>'bieu 54'!D98</f>
        <v>0</v>
      </c>
      <c r="E99" s="313">
        <f>'bieu 54'!E98</f>
        <v>1021.48</v>
      </c>
      <c r="F99" s="315"/>
      <c r="G99" s="315"/>
      <c r="H99" s="317"/>
      <c r="I99" s="299">
        <f t="shared" si="9"/>
        <v>2512.8</v>
      </c>
      <c r="J99" s="313">
        <f>'bieu 54'!H98</f>
        <v>0</v>
      </c>
      <c r="K99" s="315"/>
      <c r="L99" s="315"/>
      <c r="M99" s="313">
        <f>'bieu 54'!I98</f>
        <v>2512.8</v>
      </c>
      <c r="N99" s="315"/>
      <c r="O99" s="315"/>
      <c r="P99" s="313">
        <f t="shared" si="10"/>
        <v>0</v>
      </c>
      <c r="Q99" s="313">
        <f>'bieu 54'!M98</f>
        <v>0</v>
      </c>
      <c r="R99" s="313">
        <f>'bieu 54'!N98</f>
        <v>0</v>
      </c>
      <c r="S99" s="299">
        <f>'bieu 54'!O98</f>
        <v>0</v>
      </c>
      <c r="T99" s="204">
        <f t="shared" si="11"/>
        <v>245.9960057955124</v>
      </c>
      <c r="U99" s="204" t="e">
        <f t="shared" si="12"/>
        <v>#DIV/0!</v>
      </c>
      <c r="V99" s="204">
        <f t="shared" si="13"/>
        <v>245.9960057955124</v>
      </c>
      <c r="W99" s="65"/>
      <c r="X99" s="65"/>
    </row>
    <row r="100" spans="1:24" s="64" customFormat="1" ht="28.5" customHeight="1">
      <c r="A100" s="207">
        <v>88</v>
      </c>
      <c r="B100" s="205" t="s">
        <v>429</v>
      </c>
      <c r="C100" s="313">
        <f>'bieu 54'!C99</f>
        <v>0</v>
      </c>
      <c r="D100" s="313">
        <f>'bieu 54'!D99</f>
        <v>0</v>
      </c>
      <c r="E100" s="313">
        <f>'bieu 54'!E99</f>
        <v>0</v>
      </c>
      <c r="F100" s="315"/>
      <c r="G100" s="315"/>
      <c r="H100" s="317"/>
      <c r="I100" s="299">
        <f t="shared" si="9"/>
        <v>716.19</v>
      </c>
      <c r="J100" s="313">
        <f>'bieu 54'!H99</f>
        <v>0</v>
      </c>
      <c r="K100" s="315"/>
      <c r="L100" s="315"/>
      <c r="M100" s="313">
        <f>'bieu 54'!I99</f>
        <v>716.19</v>
      </c>
      <c r="N100" s="315"/>
      <c r="O100" s="315"/>
      <c r="P100" s="313">
        <f t="shared" si="10"/>
        <v>0</v>
      </c>
      <c r="Q100" s="313">
        <f>'bieu 54'!M99</f>
        <v>0</v>
      </c>
      <c r="R100" s="313">
        <f>'bieu 54'!N99</f>
        <v>0</v>
      </c>
      <c r="S100" s="299">
        <f>'bieu 54'!O99</f>
        <v>0</v>
      </c>
      <c r="T100" s="204" t="e">
        <f t="shared" si="11"/>
        <v>#DIV/0!</v>
      </c>
      <c r="U100" s="204" t="e">
        <f t="shared" si="12"/>
        <v>#DIV/0!</v>
      </c>
      <c r="V100" s="204" t="e">
        <f t="shared" si="13"/>
        <v>#DIV/0!</v>
      </c>
      <c r="W100" s="65"/>
      <c r="X100" s="65"/>
    </row>
    <row r="101" spans="1:24" s="64" customFormat="1" ht="28.5" customHeight="1">
      <c r="A101" s="207">
        <v>89</v>
      </c>
      <c r="B101" s="205" t="s">
        <v>430</v>
      </c>
      <c r="C101" s="313">
        <f>'bieu 54'!C100</f>
        <v>35238.42</v>
      </c>
      <c r="D101" s="313">
        <f>'bieu 54'!D100</f>
        <v>500</v>
      </c>
      <c r="E101" s="313">
        <f>'bieu 54'!E100</f>
        <v>14236.83</v>
      </c>
      <c r="F101" s="315"/>
      <c r="G101" s="315"/>
      <c r="H101" s="317"/>
      <c r="I101" s="299">
        <f t="shared" si="9"/>
        <v>0</v>
      </c>
      <c r="J101" s="313">
        <f>'bieu 54'!H100</f>
        <v>0</v>
      </c>
      <c r="K101" s="315"/>
      <c r="L101" s="315"/>
      <c r="M101" s="313">
        <f>'bieu 54'!I100</f>
        <v>0</v>
      </c>
      <c r="N101" s="315"/>
      <c r="O101" s="315"/>
      <c r="P101" s="313">
        <f t="shared" si="10"/>
        <v>0</v>
      </c>
      <c r="Q101" s="313">
        <f>'bieu 54'!M100</f>
        <v>0</v>
      </c>
      <c r="R101" s="313">
        <f>'bieu 54'!N100</f>
        <v>0</v>
      </c>
      <c r="S101" s="299">
        <f>'bieu 54'!O100</f>
        <v>0</v>
      </c>
      <c r="T101" s="204">
        <f t="shared" si="11"/>
        <v>0</v>
      </c>
      <c r="U101" s="204">
        <f t="shared" si="12"/>
        <v>0</v>
      </c>
      <c r="V101" s="204">
        <f t="shared" si="13"/>
        <v>0</v>
      </c>
      <c r="W101" s="65"/>
      <c r="X101" s="65"/>
    </row>
    <row r="102" spans="1:24" s="64" customFormat="1" ht="28.5" customHeight="1">
      <c r="A102" s="207">
        <v>90</v>
      </c>
      <c r="B102" s="206" t="s">
        <v>431</v>
      </c>
      <c r="C102" s="313">
        <f>'bieu 54'!C101</f>
        <v>5000</v>
      </c>
      <c r="D102" s="313">
        <f>'bieu 54'!D101</f>
        <v>0</v>
      </c>
      <c r="E102" s="313">
        <f>'bieu 54'!E101</f>
        <v>0</v>
      </c>
      <c r="F102" s="315"/>
      <c r="G102" s="315"/>
      <c r="H102" s="317"/>
      <c r="I102" s="299">
        <f t="shared" si="9"/>
        <v>0</v>
      </c>
      <c r="J102" s="313">
        <f>'bieu 54'!H101</f>
        <v>0</v>
      </c>
      <c r="K102" s="315"/>
      <c r="L102" s="315"/>
      <c r="M102" s="313">
        <f>'bieu 54'!I101</f>
        <v>0</v>
      </c>
      <c r="N102" s="315"/>
      <c r="O102" s="315"/>
      <c r="P102" s="313">
        <f t="shared" si="10"/>
        <v>0</v>
      </c>
      <c r="Q102" s="313">
        <f>'bieu 54'!M101</f>
        <v>0</v>
      </c>
      <c r="R102" s="313">
        <f>'bieu 54'!N101</f>
        <v>0</v>
      </c>
      <c r="S102" s="299">
        <f>'bieu 54'!O101</f>
        <v>0</v>
      </c>
      <c r="T102" s="204">
        <f t="shared" si="11"/>
        <v>0</v>
      </c>
      <c r="U102" s="204" t="e">
        <f t="shared" si="12"/>
        <v>#DIV/0!</v>
      </c>
      <c r="V102" s="204" t="e">
        <f t="shared" si="13"/>
        <v>#DIV/0!</v>
      </c>
      <c r="W102" s="65"/>
      <c r="X102" s="65"/>
    </row>
    <row r="103" spans="1:23" s="64" customFormat="1" ht="28.5" customHeight="1">
      <c r="A103" s="207">
        <v>91</v>
      </c>
      <c r="B103" s="206" t="s">
        <v>464</v>
      </c>
      <c r="C103" s="313">
        <f>'bieu 54'!C102</f>
        <v>8948.88</v>
      </c>
      <c r="D103" s="313">
        <f>'bieu 54'!D102</f>
        <v>0</v>
      </c>
      <c r="E103" s="313">
        <f>'bieu 54'!E102</f>
        <v>0</v>
      </c>
      <c r="F103" s="315"/>
      <c r="G103" s="315"/>
      <c r="H103" s="317">
        <f>'bieu 54'!F102</f>
        <v>8948.88</v>
      </c>
      <c r="I103" s="299">
        <f t="shared" si="9"/>
        <v>0</v>
      </c>
      <c r="J103" s="313">
        <f>'bieu 54'!H102</f>
        <v>0</v>
      </c>
      <c r="K103" s="315"/>
      <c r="L103" s="315"/>
      <c r="M103" s="313">
        <f>'bieu 54'!I102</f>
        <v>0</v>
      </c>
      <c r="N103" s="315"/>
      <c r="O103" s="315"/>
      <c r="P103" s="313">
        <f t="shared" si="10"/>
        <v>0</v>
      </c>
      <c r="Q103" s="313">
        <f>'bieu 54'!M102</f>
        <v>0</v>
      </c>
      <c r="R103" s="313">
        <f>'bieu 54'!N102</f>
        <v>0</v>
      </c>
      <c r="S103" s="299">
        <f>'bieu 54'!O102</f>
        <v>0</v>
      </c>
      <c r="T103" s="204">
        <f t="shared" si="11"/>
        <v>0</v>
      </c>
      <c r="U103" s="204" t="e">
        <f t="shared" si="12"/>
        <v>#DIV/0!</v>
      </c>
      <c r="V103" s="204" t="e">
        <f t="shared" si="13"/>
        <v>#DIV/0!</v>
      </c>
      <c r="W103" s="65"/>
    </row>
    <row r="104" spans="1:23" s="64" customFormat="1" ht="28.5" customHeight="1">
      <c r="A104" s="207">
        <v>92</v>
      </c>
      <c r="B104" s="206" t="s">
        <v>84</v>
      </c>
      <c r="C104" s="313">
        <f>'bieu 54'!C103</f>
        <v>0</v>
      </c>
      <c r="D104" s="313">
        <f>'bieu 54'!D103</f>
        <v>0</v>
      </c>
      <c r="E104" s="313">
        <f>'bieu 54'!E103</f>
        <v>0</v>
      </c>
      <c r="F104" s="315"/>
      <c r="G104" s="315"/>
      <c r="H104" s="317"/>
      <c r="I104" s="299">
        <f t="shared" si="9"/>
        <v>0</v>
      </c>
      <c r="J104" s="313">
        <f>'bieu 54'!H103</f>
        <v>0</v>
      </c>
      <c r="K104" s="315"/>
      <c r="L104" s="315"/>
      <c r="M104" s="313">
        <f>'bieu 54'!I103</f>
        <v>0</v>
      </c>
      <c r="N104" s="315"/>
      <c r="O104" s="315"/>
      <c r="P104" s="313">
        <f t="shared" si="10"/>
        <v>0</v>
      </c>
      <c r="Q104" s="313">
        <f>'bieu 54'!M103</f>
        <v>0</v>
      </c>
      <c r="R104" s="313">
        <f>'bieu 54'!N103</f>
        <v>0</v>
      </c>
      <c r="S104" s="299">
        <f>'bieu 54'!O103</f>
        <v>0</v>
      </c>
      <c r="T104" s="204" t="e">
        <f t="shared" si="11"/>
        <v>#DIV/0!</v>
      </c>
      <c r="U104" s="204" t="e">
        <f t="shared" si="12"/>
        <v>#DIV/0!</v>
      </c>
      <c r="V104" s="204" t="e">
        <f t="shared" si="13"/>
        <v>#DIV/0!</v>
      </c>
      <c r="W104" s="65"/>
    </row>
    <row r="105" spans="1:23" s="64" customFormat="1" ht="28.5" customHeight="1">
      <c r="A105" s="207">
        <v>93</v>
      </c>
      <c r="B105" s="206" t="s">
        <v>432</v>
      </c>
      <c r="C105" s="313">
        <f>'bieu 54'!C104</f>
        <v>0</v>
      </c>
      <c r="D105" s="313">
        <f>'bieu 54'!D104</f>
        <v>0</v>
      </c>
      <c r="E105" s="313">
        <f>'bieu 54'!E104</f>
        <v>0</v>
      </c>
      <c r="F105" s="315"/>
      <c r="G105" s="315"/>
      <c r="H105" s="317"/>
      <c r="I105" s="299">
        <f t="shared" si="9"/>
        <v>0</v>
      </c>
      <c r="J105" s="313">
        <f>'bieu 54'!H104</f>
        <v>0</v>
      </c>
      <c r="K105" s="315"/>
      <c r="L105" s="315"/>
      <c r="M105" s="313">
        <f>'bieu 54'!I104</f>
        <v>0</v>
      </c>
      <c r="N105" s="315"/>
      <c r="O105" s="315"/>
      <c r="P105" s="313">
        <f t="shared" si="10"/>
        <v>0</v>
      </c>
      <c r="Q105" s="313">
        <f>'bieu 54'!M104</f>
        <v>0</v>
      </c>
      <c r="R105" s="313">
        <f>'bieu 54'!N104</f>
        <v>0</v>
      </c>
      <c r="S105" s="299">
        <f>'bieu 54'!O104</f>
        <v>23132.290091</v>
      </c>
      <c r="T105" s="204" t="e">
        <f t="shared" si="11"/>
        <v>#DIV/0!</v>
      </c>
      <c r="U105" s="204" t="e">
        <f t="shared" si="12"/>
        <v>#DIV/0!</v>
      </c>
      <c r="V105" s="204" t="e">
        <f t="shared" si="13"/>
        <v>#DIV/0!</v>
      </c>
      <c r="W105" s="65"/>
    </row>
    <row r="106" spans="1:23" s="123" customFormat="1" ht="28.5" customHeight="1">
      <c r="A106" s="207">
        <v>94</v>
      </c>
      <c r="B106" s="206" t="s">
        <v>337</v>
      </c>
      <c r="C106" s="313">
        <f>'bieu 54'!C105</f>
        <v>0</v>
      </c>
      <c r="D106" s="313">
        <f>'bieu 54'!D105</f>
        <v>0</v>
      </c>
      <c r="E106" s="313">
        <f>'bieu 54'!E105</f>
        <v>0</v>
      </c>
      <c r="F106" s="315"/>
      <c r="G106" s="315"/>
      <c r="H106" s="317"/>
      <c r="I106" s="299">
        <f t="shared" si="9"/>
        <v>0</v>
      </c>
      <c r="J106" s="313">
        <f>'bieu 54'!H105</f>
        <v>0</v>
      </c>
      <c r="K106" s="315"/>
      <c r="L106" s="315"/>
      <c r="M106" s="313">
        <f>'bieu 54'!I105</f>
        <v>0</v>
      </c>
      <c r="N106" s="315"/>
      <c r="O106" s="315"/>
      <c r="P106" s="313">
        <f t="shared" si="10"/>
        <v>0</v>
      </c>
      <c r="Q106" s="313">
        <f>'bieu 54'!M105</f>
        <v>0</v>
      </c>
      <c r="R106" s="313">
        <f>'bieu 54'!N105</f>
        <v>0</v>
      </c>
      <c r="S106" s="299">
        <f>'bieu 54'!O105</f>
        <v>0</v>
      </c>
      <c r="T106" s="204" t="e">
        <f t="shared" si="11"/>
        <v>#DIV/0!</v>
      </c>
      <c r="U106" s="204" t="e">
        <f t="shared" si="12"/>
        <v>#DIV/0!</v>
      </c>
      <c r="V106" s="204" t="e">
        <f t="shared" si="13"/>
        <v>#DIV/0!</v>
      </c>
      <c r="W106" s="65"/>
    </row>
    <row r="107" spans="1:23" s="123" customFormat="1" ht="28.5" customHeight="1">
      <c r="A107" s="207">
        <v>95</v>
      </c>
      <c r="B107" s="224" t="s">
        <v>533</v>
      </c>
      <c r="C107" s="313">
        <f>'bieu 54'!C106</f>
        <v>5795.9</v>
      </c>
      <c r="D107" s="313">
        <f>'bieu 54'!D106</f>
        <v>0</v>
      </c>
      <c r="E107" s="313">
        <f>'bieu 54'!E106</f>
        <v>0</v>
      </c>
      <c r="F107" s="317"/>
      <c r="G107" s="317"/>
      <c r="H107" s="317"/>
      <c r="I107" s="299">
        <f t="shared" si="9"/>
        <v>0</v>
      </c>
      <c r="J107" s="313">
        <f>'bieu 54'!H106</f>
        <v>0</v>
      </c>
      <c r="K107" s="317"/>
      <c r="L107" s="317"/>
      <c r="M107" s="313">
        <f>'bieu 54'!I106</f>
        <v>0</v>
      </c>
      <c r="N107" s="315"/>
      <c r="O107" s="315"/>
      <c r="P107" s="313">
        <f t="shared" si="10"/>
        <v>0</v>
      </c>
      <c r="Q107" s="313">
        <f>'bieu 54'!M106</f>
        <v>0</v>
      </c>
      <c r="R107" s="313">
        <f>'bieu 54'!N106</f>
        <v>0</v>
      </c>
      <c r="S107" s="299">
        <f>'bieu 54'!O106</f>
        <v>0</v>
      </c>
      <c r="T107" s="204">
        <f t="shared" si="11"/>
        <v>0</v>
      </c>
      <c r="U107" s="204" t="e">
        <f t="shared" si="12"/>
        <v>#DIV/0!</v>
      </c>
      <c r="V107" s="204" t="e">
        <f t="shared" si="13"/>
        <v>#DIV/0!</v>
      </c>
      <c r="W107" s="65"/>
    </row>
    <row r="108" spans="1:24" s="123" customFormat="1" ht="28.5" customHeight="1">
      <c r="A108" s="207">
        <v>96</v>
      </c>
      <c r="B108" s="224" t="s">
        <v>586</v>
      </c>
      <c r="C108" s="313">
        <f>'bieu 54'!C107</f>
        <v>0</v>
      </c>
      <c r="D108" s="313">
        <f>'bieu 54'!D107</f>
        <v>0</v>
      </c>
      <c r="E108" s="313">
        <f>'bieu 54'!E107</f>
        <v>0</v>
      </c>
      <c r="F108" s="317"/>
      <c r="G108" s="317"/>
      <c r="H108" s="317"/>
      <c r="I108" s="299">
        <f t="shared" si="9"/>
        <v>1871.801</v>
      </c>
      <c r="J108" s="313">
        <f>'bieu 54'!H107</f>
        <v>0</v>
      </c>
      <c r="K108" s="317"/>
      <c r="L108" s="317"/>
      <c r="M108" s="313">
        <f>'bieu 54'!I107</f>
        <v>1871.801</v>
      </c>
      <c r="N108" s="315"/>
      <c r="O108" s="315"/>
      <c r="P108" s="313">
        <f t="shared" si="10"/>
        <v>0</v>
      </c>
      <c r="Q108" s="313">
        <f>'bieu 54'!M107</f>
        <v>0</v>
      </c>
      <c r="R108" s="313">
        <f>'bieu 54'!N107</f>
        <v>0</v>
      </c>
      <c r="S108" s="299">
        <f>'bieu 54'!O107</f>
        <v>0</v>
      </c>
      <c r="T108" s="204" t="e">
        <f t="shared" si="11"/>
        <v>#DIV/0!</v>
      </c>
      <c r="U108" s="204" t="e">
        <f t="shared" si="12"/>
        <v>#DIV/0!</v>
      </c>
      <c r="V108" s="204" t="e">
        <f t="shared" si="13"/>
        <v>#DIV/0!</v>
      </c>
      <c r="W108" s="65"/>
      <c r="X108" s="123" t="e">
        <f>'bieu 48 '!A4:F4</f>
        <v>#VALUE!</v>
      </c>
    </row>
    <row r="109" spans="1:23" s="123" customFormat="1" ht="28.5" customHeight="1">
      <c r="A109" s="207">
        <v>97</v>
      </c>
      <c r="B109" s="224" t="s">
        <v>534</v>
      </c>
      <c r="C109" s="313">
        <f>'bieu 54'!C108</f>
        <v>0</v>
      </c>
      <c r="D109" s="313">
        <f>'bieu 54'!D108</f>
        <v>0</v>
      </c>
      <c r="E109" s="313">
        <f>'bieu 54'!E108</f>
        <v>0</v>
      </c>
      <c r="F109" s="317"/>
      <c r="G109" s="317"/>
      <c r="H109" s="317"/>
      <c r="I109" s="299">
        <f t="shared" si="9"/>
        <v>0</v>
      </c>
      <c r="J109" s="313">
        <f>'bieu 54'!H108</f>
        <v>0</v>
      </c>
      <c r="K109" s="317"/>
      <c r="L109" s="317"/>
      <c r="M109" s="313">
        <f>'bieu 54'!I108</f>
        <v>0</v>
      </c>
      <c r="N109" s="315"/>
      <c r="O109" s="315"/>
      <c r="P109" s="313">
        <f t="shared" si="10"/>
        <v>0</v>
      </c>
      <c r="Q109" s="313">
        <f>'bieu 54'!M108</f>
        <v>0</v>
      </c>
      <c r="R109" s="313">
        <f>'bieu 54'!N108</f>
        <v>0</v>
      </c>
      <c r="S109" s="299">
        <f>'bieu 54'!O108</f>
        <v>0</v>
      </c>
      <c r="T109" s="204" t="e">
        <f t="shared" si="11"/>
        <v>#DIV/0!</v>
      </c>
      <c r="U109" s="204" t="e">
        <f t="shared" si="12"/>
        <v>#DIV/0!</v>
      </c>
      <c r="V109" s="204" t="e">
        <f t="shared" si="13"/>
        <v>#DIV/0!</v>
      </c>
      <c r="W109" s="65"/>
    </row>
    <row r="110" spans="1:24" s="121" customFormat="1" ht="28.5" customHeight="1">
      <c r="A110" s="353" t="s">
        <v>40</v>
      </c>
      <c r="B110" s="354" t="s">
        <v>420</v>
      </c>
      <c r="C110" s="635">
        <f aca="true" t="shared" si="14" ref="C110:S110">SUM(C111:C128)</f>
        <v>86213.27</v>
      </c>
      <c r="D110" s="635">
        <f t="shared" si="14"/>
        <v>0</v>
      </c>
      <c r="E110" s="635">
        <f t="shared" si="14"/>
        <v>84444.15</v>
      </c>
      <c r="F110" s="635">
        <f t="shared" si="14"/>
        <v>555.9200000000001</v>
      </c>
      <c r="G110" s="635">
        <f t="shared" si="14"/>
        <v>0</v>
      </c>
      <c r="H110" s="635">
        <f t="shared" si="14"/>
        <v>1769.12</v>
      </c>
      <c r="I110" s="635">
        <f>SUM(I111:I128)</f>
        <v>165334.33843899996</v>
      </c>
      <c r="J110" s="635">
        <f t="shared" si="14"/>
        <v>1890.654</v>
      </c>
      <c r="K110" s="635">
        <f t="shared" si="14"/>
        <v>0</v>
      </c>
      <c r="L110" s="635">
        <f t="shared" si="14"/>
        <v>0</v>
      </c>
      <c r="M110" s="635">
        <f t="shared" si="14"/>
        <v>94554.478056</v>
      </c>
      <c r="N110" s="635">
        <f t="shared" si="14"/>
        <v>810.5173</v>
      </c>
      <c r="O110" s="635">
        <f t="shared" si="14"/>
        <v>0</v>
      </c>
      <c r="P110" s="635">
        <f t="shared" si="14"/>
        <v>35145.91535</v>
      </c>
      <c r="Q110" s="635">
        <f t="shared" si="14"/>
        <v>10339.117</v>
      </c>
      <c r="R110" s="635">
        <f t="shared" si="14"/>
        <v>24806.798350000005</v>
      </c>
      <c r="S110" s="675">
        <f t="shared" si="14"/>
        <v>33743.291033</v>
      </c>
      <c r="T110" s="676">
        <f>I110/C110*100</f>
        <v>191.77365437942436</v>
      </c>
      <c r="U110" s="677"/>
      <c r="V110" s="676">
        <f>M110/E110*100</f>
        <v>111.97279865567953</v>
      </c>
      <c r="W110" s="65">
        <f>M110+R110</f>
        <v>119361.27640600002</v>
      </c>
      <c r="X110" s="65">
        <f>J110+Q110</f>
        <v>12229.771</v>
      </c>
    </row>
    <row r="111" spans="1:23" s="123" customFormat="1" ht="28.5" customHeight="1">
      <c r="A111" s="355">
        <v>1</v>
      </c>
      <c r="B111" s="356" t="s">
        <v>270</v>
      </c>
      <c r="C111" s="640">
        <f>D111+E111+H111</f>
        <v>5677.530000000001</v>
      </c>
      <c r="D111" s="640">
        <f>'bieu 54'!D110</f>
        <v>0</v>
      </c>
      <c r="E111" s="640">
        <f>'bieu 54'!E110</f>
        <v>5562.81</v>
      </c>
      <c r="F111" s="678">
        <v>28.939999999999998</v>
      </c>
      <c r="G111" s="678"/>
      <c r="H111" s="640">
        <f>'bieu 54'!F110</f>
        <v>114.72</v>
      </c>
      <c r="I111" s="640">
        <f>J111+M111+P111+S111</f>
        <v>6961.649324</v>
      </c>
      <c r="J111" s="640">
        <f>'bieu 54'!H110</f>
        <v>0</v>
      </c>
      <c r="K111" s="679"/>
      <c r="L111" s="679"/>
      <c r="M111" s="640">
        <f>'bieu 54'!I110+'bieu 54'!J110</f>
        <v>6158.82089</v>
      </c>
      <c r="N111" s="679">
        <v>29.87</v>
      </c>
      <c r="O111" s="679"/>
      <c r="P111" s="640">
        <f>Q111+R111</f>
        <v>96.148</v>
      </c>
      <c r="Q111" s="640">
        <f>'bieu 54'!M110</f>
        <v>0</v>
      </c>
      <c r="R111" s="640">
        <f>'bieu 54'!N110</f>
        <v>96.148</v>
      </c>
      <c r="S111" s="680">
        <f>'bieu 54'!O110</f>
        <v>706.680434</v>
      </c>
      <c r="T111" s="681">
        <f>I111/C111*100</f>
        <v>122.6175700348567</v>
      </c>
      <c r="U111" s="682"/>
      <c r="V111" s="681">
        <f>M111/E111*100</f>
        <v>110.71420541057486</v>
      </c>
      <c r="W111" s="683"/>
    </row>
    <row r="112" spans="1:23" s="123" customFormat="1" ht="28.5" customHeight="1">
      <c r="A112" s="355">
        <v>2</v>
      </c>
      <c r="B112" s="356" t="s">
        <v>271</v>
      </c>
      <c r="C112" s="640">
        <f aca="true" t="shared" si="15" ref="C112:C128">D112+E112+H112</f>
        <v>5560.63</v>
      </c>
      <c r="D112" s="640">
        <f>'bieu 54'!D111</f>
        <v>0</v>
      </c>
      <c r="E112" s="640">
        <f>'bieu 54'!E111</f>
        <v>5446.26</v>
      </c>
      <c r="F112" s="678">
        <v>33.94</v>
      </c>
      <c r="G112" s="678"/>
      <c r="H112" s="640">
        <f>'bieu 54'!F111</f>
        <v>114.37</v>
      </c>
      <c r="I112" s="640">
        <f aca="true" t="shared" si="16" ref="I112:I128">J112+M112+P112+S112</f>
        <v>8503.392926</v>
      </c>
      <c r="J112" s="640">
        <f>'bieu 54'!H111</f>
        <v>249.981</v>
      </c>
      <c r="K112" s="679"/>
      <c r="L112" s="679"/>
      <c r="M112" s="640">
        <f>'bieu 54'!I111+'bieu 54'!J111</f>
        <v>5559.104703</v>
      </c>
      <c r="N112" s="679">
        <v>64.81</v>
      </c>
      <c r="O112" s="679"/>
      <c r="P112" s="640">
        <f aca="true" t="shared" si="17" ref="P112:P128">Q112+R112</f>
        <v>1137.6388</v>
      </c>
      <c r="Q112" s="640">
        <f>'bieu 54'!M111</f>
        <v>0</v>
      </c>
      <c r="R112" s="640">
        <f>'bieu 54'!N111</f>
        <v>1137.6388</v>
      </c>
      <c r="S112" s="680">
        <f>'bieu 54'!O111</f>
        <v>1556.668423</v>
      </c>
      <c r="T112" s="681">
        <f aca="true" t="shared" si="18" ref="T112:T128">I112/C112*100</f>
        <v>152.921394266477</v>
      </c>
      <c r="U112" s="682"/>
      <c r="V112" s="681">
        <f aca="true" t="shared" si="19" ref="V112:V128">M112/E112*100</f>
        <v>102.07196687267958</v>
      </c>
      <c r="W112" s="683"/>
    </row>
    <row r="113" spans="1:23" s="123" customFormat="1" ht="28.5" customHeight="1">
      <c r="A113" s="355">
        <v>3</v>
      </c>
      <c r="B113" s="356" t="s">
        <v>9</v>
      </c>
      <c r="C113" s="640">
        <f t="shared" si="15"/>
        <v>5256.55</v>
      </c>
      <c r="D113" s="640">
        <f>'bieu 54'!D112</f>
        <v>0</v>
      </c>
      <c r="E113" s="640">
        <f>'bieu 54'!E112</f>
        <v>5150.49</v>
      </c>
      <c r="F113" s="678">
        <v>28.939999999999998</v>
      </c>
      <c r="G113" s="678"/>
      <c r="H113" s="640">
        <f>'bieu 54'!F112</f>
        <v>106.06</v>
      </c>
      <c r="I113" s="640">
        <f t="shared" si="16"/>
        <v>8060.155031</v>
      </c>
      <c r="J113" s="640">
        <f>'bieu 54'!H112</f>
        <v>808.8</v>
      </c>
      <c r="K113" s="679"/>
      <c r="L113" s="679"/>
      <c r="M113" s="640">
        <f>'bieu 54'!I112+'bieu 54'!J112</f>
        <v>6306.661535</v>
      </c>
      <c r="N113" s="679">
        <v>9.06</v>
      </c>
      <c r="O113" s="679"/>
      <c r="P113" s="640">
        <f t="shared" si="17"/>
        <v>574.026</v>
      </c>
      <c r="Q113" s="640">
        <f>'bieu 54'!M112</f>
        <v>0</v>
      </c>
      <c r="R113" s="640">
        <f>'bieu 54'!N112</f>
        <v>574.026</v>
      </c>
      <c r="S113" s="680">
        <f>'bieu 54'!O112</f>
        <v>370.667496</v>
      </c>
      <c r="T113" s="681">
        <f t="shared" si="18"/>
        <v>153.33545825684146</v>
      </c>
      <c r="U113" s="682"/>
      <c r="V113" s="681">
        <f t="shared" si="19"/>
        <v>122.44779690864365</v>
      </c>
      <c r="W113" s="683"/>
    </row>
    <row r="114" spans="1:23" s="123" customFormat="1" ht="28.5" customHeight="1">
      <c r="A114" s="355">
        <v>4</v>
      </c>
      <c r="B114" s="356" t="s">
        <v>272</v>
      </c>
      <c r="C114" s="640">
        <f t="shared" si="15"/>
        <v>5233.240000000001</v>
      </c>
      <c r="D114" s="640">
        <f>'bieu 54'!D113</f>
        <v>0</v>
      </c>
      <c r="E114" s="640">
        <f>'bieu 54'!E113</f>
        <v>5125.6</v>
      </c>
      <c r="F114" s="678">
        <v>28.939999999999998</v>
      </c>
      <c r="G114" s="678"/>
      <c r="H114" s="640">
        <f>'bieu 54'!F113</f>
        <v>107.64</v>
      </c>
      <c r="I114" s="640">
        <f t="shared" si="16"/>
        <v>5864.656903</v>
      </c>
      <c r="J114" s="640">
        <f>'bieu 54'!H113</f>
        <v>0</v>
      </c>
      <c r="K114" s="679"/>
      <c r="L114" s="679"/>
      <c r="M114" s="640">
        <f>'bieu 54'!I113+'bieu 54'!J113</f>
        <v>5604.900421</v>
      </c>
      <c r="N114" s="679">
        <v>47.19</v>
      </c>
      <c r="O114" s="679"/>
      <c r="P114" s="640">
        <f t="shared" si="17"/>
        <v>149.973</v>
      </c>
      <c r="Q114" s="640">
        <f>'bieu 54'!M113</f>
        <v>0</v>
      </c>
      <c r="R114" s="640">
        <f>'bieu 54'!N113</f>
        <v>149.973</v>
      </c>
      <c r="S114" s="680">
        <f>'bieu 54'!O113</f>
        <v>109.783482</v>
      </c>
      <c r="T114" s="681">
        <f t="shared" si="18"/>
        <v>112.06550632113183</v>
      </c>
      <c r="U114" s="682"/>
      <c r="V114" s="681">
        <f t="shared" si="19"/>
        <v>109.35110857265491</v>
      </c>
      <c r="W114" s="683"/>
    </row>
    <row r="115" spans="1:23" s="123" customFormat="1" ht="28.5" customHeight="1">
      <c r="A115" s="355">
        <v>5</v>
      </c>
      <c r="B115" s="356" t="s">
        <v>273</v>
      </c>
      <c r="C115" s="640">
        <f t="shared" si="15"/>
        <v>6471.589999999999</v>
      </c>
      <c r="D115" s="640">
        <f>'bieu 54'!D114</f>
        <v>0</v>
      </c>
      <c r="E115" s="640">
        <f>'bieu 54'!E114</f>
        <v>6338.48</v>
      </c>
      <c r="F115" s="678">
        <v>33.94</v>
      </c>
      <c r="G115" s="678"/>
      <c r="H115" s="640">
        <f>'bieu 54'!F114</f>
        <v>133.11</v>
      </c>
      <c r="I115" s="640">
        <f t="shared" si="16"/>
        <v>18972.966739</v>
      </c>
      <c r="J115" s="640">
        <f>'bieu 54'!H114</f>
        <v>0</v>
      </c>
      <c r="K115" s="679"/>
      <c r="L115" s="679"/>
      <c r="M115" s="640">
        <f>'bieu 54'!I114+'bieu 54'!J114</f>
        <v>7159.942123999999</v>
      </c>
      <c r="N115" s="679">
        <v>38.37</v>
      </c>
      <c r="O115" s="679"/>
      <c r="P115" s="640">
        <f t="shared" si="17"/>
        <v>5092.909</v>
      </c>
      <c r="Q115" s="640">
        <f>'bieu 54'!M114</f>
        <v>541.663</v>
      </c>
      <c r="R115" s="640">
        <f>'bieu 54'!N114</f>
        <v>4551.246</v>
      </c>
      <c r="S115" s="680">
        <f>'bieu 54'!O114</f>
        <v>6720.115615</v>
      </c>
      <c r="T115" s="681">
        <f t="shared" si="18"/>
        <v>293.17318833547864</v>
      </c>
      <c r="U115" s="682"/>
      <c r="V115" s="681">
        <f t="shared" si="19"/>
        <v>112.95992294682637</v>
      </c>
      <c r="W115" s="683"/>
    </row>
    <row r="116" spans="1:23" s="123" customFormat="1" ht="28.5" customHeight="1">
      <c r="A116" s="355">
        <v>6</v>
      </c>
      <c r="B116" s="356" t="s">
        <v>274</v>
      </c>
      <c r="C116" s="640">
        <f t="shared" si="15"/>
        <v>4703.38</v>
      </c>
      <c r="D116" s="640">
        <f>'bieu 54'!D115</f>
        <v>0</v>
      </c>
      <c r="E116" s="640">
        <f>'bieu 54'!E115</f>
        <v>4606.64</v>
      </c>
      <c r="F116" s="678">
        <v>28.939999999999998</v>
      </c>
      <c r="G116" s="678"/>
      <c r="H116" s="640">
        <f>'bieu 54'!F115</f>
        <v>96.74</v>
      </c>
      <c r="I116" s="640">
        <f t="shared" si="16"/>
        <v>6481.980619999999</v>
      </c>
      <c r="J116" s="640">
        <f>'bieu 54'!H115</f>
        <v>0</v>
      </c>
      <c r="K116" s="679"/>
      <c r="L116" s="679"/>
      <c r="M116" s="640">
        <f>'bieu 54'!I115+'bieu 54'!J115</f>
        <v>4971.967815</v>
      </c>
      <c r="N116" s="679">
        <v>82.305</v>
      </c>
      <c r="O116" s="679"/>
      <c r="P116" s="640">
        <f t="shared" si="17"/>
        <v>985.721</v>
      </c>
      <c r="Q116" s="640">
        <f>'bieu 54'!M115</f>
        <v>576.575</v>
      </c>
      <c r="R116" s="640">
        <f>'bieu 54'!N115</f>
        <v>409.146</v>
      </c>
      <c r="S116" s="680">
        <f>'bieu 54'!O115</f>
        <v>524.291805</v>
      </c>
      <c r="T116" s="681">
        <f t="shared" si="18"/>
        <v>137.81537149879446</v>
      </c>
      <c r="U116" s="682"/>
      <c r="V116" s="681">
        <f t="shared" si="19"/>
        <v>107.93046157286004</v>
      </c>
      <c r="W116" s="683"/>
    </row>
    <row r="117" spans="1:23" s="123" customFormat="1" ht="28.5" customHeight="1">
      <c r="A117" s="355">
        <v>7</v>
      </c>
      <c r="B117" s="356" t="s">
        <v>275</v>
      </c>
      <c r="C117" s="640">
        <f t="shared" si="15"/>
        <v>3707.18</v>
      </c>
      <c r="D117" s="640">
        <f>'bieu 54'!D116</f>
        <v>0</v>
      </c>
      <c r="E117" s="640">
        <f>'bieu 54'!E116</f>
        <v>3630.93</v>
      </c>
      <c r="F117" s="678">
        <v>28.939999999999998</v>
      </c>
      <c r="G117" s="678"/>
      <c r="H117" s="640">
        <f>'bieu 54'!F116</f>
        <v>76.25</v>
      </c>
      <c r="I117" s="640">
        <f t="shared" si="16"/>
        <v>5506.227626</v>
      </c>
      <c r="J117" s="640">
        <f>'bieu 54'!H116</f>
        <v>0</v>
      </c>
      <c r="K117" s="679"/>
      <c r="L117" s="679"/>
      <c r="M117" s="640">
        <f>'bieu 54'!I116+'bieu 54'!J116</f>
        <v>4033.101056</v>
      </c>
      <c r="N117" s="679">
        <v>62.06</v>
      </c>
      <c r="O117" s="679"/>
      <c r="P117" s="640">
        <f t="shared" si="17"/>
        <v>1188.17044</v>
      </c>
      <c r="Q117" s="640">
        <f>'bieu 54'!M116</f>
        <v>1041.707</v>
      </c>
      <c r="R117" s="640">
        <f>'bieu 54'!N116</f>
        <v>146.46344</v>
      </c>
      <c r="S117" s="680">
        <f>'bieu 54'!O116</f>
        <v>284.95613</v>
      </c>
      <c r="T117" s="681">
        <f t="shared" si="18"/>
        <v>148.52873682961174</v>
      </c>
      <c r="U117" s="682"/>
      <c r="V117" s="681">
        <f t="shared" si="19"/>
        <v>111.07625473363574</v>
      </c>
      <c r="W117" s="683"/>
    </row>
    <row r="118" spans="1:23" s="123" customFormat="1" ht="28.5" customHeight="1">
      <c r="A118" s="355">
        <v>8</v>
      </c>
      <c r="B118" s="356" t="s">
        <v>276</v>
      </c>
      <c r="C118" s="640">
        <f t="shared" si="15"/>
        <v>3919.5499999999997</v>
      </c>
      <c r="D118" s="640">
        <f>'bieu 54'!D117</f>
        <v>0</v>
      </c>
      <c r="E118" s="640">
        <f>'bieu 54'!E117</f>
        <v>3838.93</v>
      </c>
      <c r="F118" s="678">
        <v>28.939999999999998</v>
      </c>
      <c r="G118" s="678"/>
      <c r="H118" s="640">
        <f>'bieu 54'!F117</f>
        <v>80.62</v>
      </c>
      <c r="I118" s="640">
        <f t="shared" si="16"/>
        <v>6057.831998000001</v>
      </c>
      <c r="J118" s="640">
        <f>'bieu 54'!H117</f>
        <v>0</v>
      </c>
      <c r="K118" s="679"/>
      <c r="L118" s="679"/>
      <c r="M118" s="640">
        <f>'bieu 54'!I117+'bieu 54'!J117</f>
        <v>4701.81112</v>
      </c>
      <c r="N118" s="679">
        <v>37.88</v>
      </c>
      <c r="O118" s="679"/>
      <c r="P118" s="640">
        <f t="shared" si="17"/>
        <v>901.1209</v>
      </c>
      <c r="Q118" s="640">
        <f>'bieu 54'!M117</f>
        <v>572.336</v>
      </c>
      <c r="R118" s="640">
        <f>'bieu 54'!N117</f>
        <v>328.7849</v>
      </c>
      <c r="S118" s="680">
        <f>'bieu 54'!O117</f>
        <v>454.899978</v>
      </c>
      <c r="T118" s="681">
        <f t="shared" si="18"/>
        <v>154.5542727609037</v>
      </c>
      <c r="U118" s="682"/>
      <c r="V118" s="681">
        <f t="shared" si="19"/>
        <v>122.47712565740976</v>
      </c>
      <c r="W118" s="683"/>
    </row>
    <row r="119" spans="1:23" s="123" customFormat="1" ht="28.5" customHeight="1">
      <c r="A119" s="355">
        <v>9</v>
      </c>
      <c r="B119" s="356" t="s">
        <v>277</v>
      </c>
      <c r="C119" s="640">
        <f t="shared" si="15"/>
        <v>4335.4800000000005</v>
      </c>
      <c r="D119" s="640">
        <f>'bieu 54'!D118</f>
        <v>0</v>
      </c>
      <c r="E119" s="640">
        <f>'bieu 54'!E118</f>
        <v>4246.31</v>
      </c>
      <c r="F119" s="678">
        <v>33.94</v>
      </c>
      <c r="G119" s="678"/>
      <c r="H119" s="640">
        <f>'bieu 54'!F118</f>
        <v>89.17</v>
      </c>
      <c r="I119" s="640">
        <f t="shared" si="16"/>
        <v>10231.344143</v>
      </c>
      <c r="J119" s="640">
        <f>'bieu 54'!H118</f>
        <v>0</v>
      </c>
      <c r="K119" s="679"/>
      <c r="L119" s="679"/>
      <c r="M119" s="640">
        <f>'bieu 54'!I118+'bieu 54'!J118</f>
        <v>4812.253139</v>
      </c>
      <c r="N119" s="679">
        <v>55.651</v>
      </c>
      <c r="O119" s="679"/>
      <c r="P119" s="640">
        <f t="shared" si="17"/>
        <v>3650.0699999999997</v>
      </c>
      <c r="Q119" s="640">
        <f>'bieu 54'!M118</f>
        <v>1629</v>
      </c>
      <c r="R119" s="640">
        <f>'bieu 54'!N118</f>
        <v>2021.07</v>
      </c>
      <c r="S119" s="680">
        <f>'bieu 54'!O118</f>
        <v>1769.021004</v>
      </c>
      <c r="T119" s="681">
        <f t="shared" si="18"/>
        <v>235.99103543321615</v>
      </c>
      <c r="U119" s="682"/>
      <c r="V119" s="681">
        <f t="shared" si="19"/>
        <v>113.32788088952526</v>
      </c>
      <c r="W119" s="683"/>
    </row>
    <row r="120" spans="1:23" s="123" customFormat="1" ht="28.5" customHeight="1">
      <c r="A120" s="355">
        <v>10</v>
      </c>
      <c r="B120" s="356" t="s">
        <v>278</v>
      </c>
      <c r="C120" s="640">
        <f t="shared" si="15"/>
        <v>4473.6</v>
      </c>
      <c r="D120" s="640">
        <f>'bieu 54'!D119</f>
        <v>0</v>
      </c>
      <c r="E120" s="640">
        <f>'bieu 54'!E119</f>
        <v>4381.59</v>
      </c>
      <c r="F120" s="678">
        <v>28.939999999999998</v>
      </c>
      <c r="G120" s="678"/>
      <c r="H120" s="640">
        <f>'bieu 54'!F119</f>
        <v>92.01</v>
      </c>
      <c r="I120" s="640">
        <f t="shared" si="16"/>
        <v>8424.488442</v>
      </c>
      <c r="J120" s="640">
        <f>'bieu 54'!H119</f>
        <v>281.873</v>
      </c>
      <c r="K120" s="679"/>
      <c r="L120" s="679"/>
      <c r="M120" s="640">
        <f>'bieu 54'!I119+'bieu 54'!J119</f>
        <v>4730.050841</v>
      </c>
      <c r="N120" s="679">
        <v>38.838</v>
      </c>
      <c r="O120" s="679"/>
      <c r="P120" s="640">
        <f t="shared" si="17"/>
        <v>2756.787</v>
      </c>
      <c r="Q120" s="640">
        <f>'bieu 54'!M119</f>
        <v>0</v>
      </c>
      <c r="R120" s="640">
        <f>'bieu 54'!N119</f>
        <v>2756.787</v>
      </c>
      <c r="S120" s="680">
        <f>'bieu 54'!O119</f>
        <v>655.777601</v>
      </c>
      <c r="T120" s="681">
        <f t="shared" si="18"/>
        <v>188.31563935085836</v>
      </c>
      <c r="U120" s="682"/>
      <c r="V120" s="681">
        <f t="shared" si="19"/>
        <v>107.95283997361689</v>
      </c>
      <c r="W120" s="683"/>
    </row>
    <row r="121" spans="1:23" s="123" customFormat="1" ht="28.5" customHeight="1">
      <c r="A121" s="355">
        <v>11</v>
      </c>
      <c r="B121" s="356" t="s">
        <v>279</v>
      </c>
      <c r="C121" s="640">
        <f t="shared" si="15"/>
        <v>3932.4300000000003</v>
      </c>
      <c r="D121" s="640">
        <f>'bieu 54'!D120</f>
        <v>0</v>
      </c>
      <c r="E121" s="640">
        <f>'bieu 54'!E120</f>
        <v>3851.55</v>
      </c>
      <c r="F121" s="678">
        <v>28.939999999999998</v>
      </c>
      <c r="G121" s="678"/>
      <c r="H121" s="640">
        <f>'bieu 54'!F120</f>
        <v>80.88</v>
      </c>
      <c r="I121" s="640">
        <f t="shared" si="16"/>
        <v>5535.073614</v>
      </c>
      <c r="J121" s="640">
        <f>'bieu 54'!H120</f>
        <v>0</v>
      </c>
      <c r="K121" s="679"/>
      <c r="L121" s="679"/>
      <c r="M121" s="640">
        <f>'bieu 54'!I120+'bieu 54'!J120</f>
        <v>4302.899692</v>
      </c>
      <c r="N121" s="679">
        <v>21.8335</v>
      </c>
      <c r="O121" s="679"/>
      <c r="P121" s="640">
        <f t="shared" si="17"/>
        <v>818.4105</v>
      </c>
      <c r="Q121" s="640">
        <f>'bieu 54'!M120</f>
        <v>417.428</v>
      </c>
      <c r="R121" s="640">
        <f>'bieu 54'!N120</f>
        <v>400.9825</v>
      </c>
      <c r="S121" s="680">
        <f>'bieu 54'!O120</f>
        <v>413.763422</v>
      </c>
      <c r="T121" s="681">
        <f t="shared" si="18"/>
        <v>140.75453635538332</v>
      </c>
      <c r="U121" s="682"/>
      <c r="V121" s="681">
        <f t="shared" si="19"/>
        <v>111.71865072503277</v>
      </c>
      <c r="W121" s="683"/>
    </row>
    <row r="122" spans="1:23" s="123" customFormat="1" ht="28.5" customHeight="1">
      <c r="A122" s="355">
        <v>12</v>
      </c>
      <c r="B122" s="356" t="s">
        <v>280</v>
      </c>
      <c r="C122" s="640">
        <f t="shared" si="15"/>
        <v>4386.02</v>
      </c>
      <c r="D122" s="640">
        <f>'bieu 54'!D121</f>
        <v>0</v>
      </c>
      <c r="E122" s="640">
        <f>'bieu 54'!E121</f>
        <v>4295.81</v>
      </c>
      <c r="F122" s="678">
        <v>33.94</v>
      </c>
      <c r="G122" s="678"/>
      <c r="H122" s="640">
        <f>'bieu 54'!F121</f>
        <v>90.21</v>
      </c>
      <c r="I122" s="640">
        <f t="shared" si="16"/>
        <v>11225.497666</v>
      </c>
      <c r="J122" s="640">
        <f>'bieu 54'!H121</f>
        <v>0</v>
      </c>
      <c r="K122" s="679"/>
      <c r="L122" s="679"/>
      <c r="M122" s="640">
        <f>'bieu 54'!I121+'bieu 54'!J121</f>
        <v>4941.479798</v>
      </c>
      <c r="N122" s="679">
        <v>43.8088</v>
      </c>
      <c r="O122" s="679"/>
      <c r="P122" s="640">
        <f t="shared" si="17"/>
        <v>1929.913627</v>
      </c>
      <c r="Q122" s="640">
        <f>'bieu 54'!M121</f>
        <v>0</v>
      </c>
      <c r="R122" s="640">
        <f>'bieu 54'!N121</f>
        <v>1929.913627</v>
      </c>
      <c r="S122" s="680">
        <f>'bieu 54'!O121</f>
        <v>4354.104241</v>
      </c>
      <c r="T122" s="681">
        <f t="shared" si="18"/>
        <v>255.9381322018595</v>
      </c>
      <c r="U122" s="682"/>
      <c r="V122" s="681">
        <f t="shared" si="19"/>
        <v>115.03022242603839</v>
      </c>
      <c r="W122" s="683"/>
    </row>
    <row r="123" spans="1:23" s="123" customFormat="1" ht="28.5" customHeight="1">
      <c r="A123" s="355">
        <v>13</v>
      </c>
      <c r="B123" s="356" t="s">
        <v>281</v>
      </c>
      <c r="C123" s="640">
        <f t="shared" si="15"/>
        <v>5613.07</v>
      </c>
      <c r="D123" s="640">
        <f>'bieu 54'!D122</f>
        <v>0</v>
      </c>
      <c r="E123" s="640">
        <f>'bieu 54'!E122</f>
        <v>5497.62</v>
      </c>
      <c r="F123" s="678">
        <v>33.94</v>
      </c>
      <c r="G123" s="678"/>
      <c r="H123" s="640">
        <f>'bieu 54'!F122</f>
        <v>115.45</v>
      </c>
      <c r="I123" s="640">
        <f t="shared" si="16"/>
        <v>17527.305993</v>
      </c>
      <c r="J123" s="640">
        <f>'bieu 54'!H122</f>
        <v>0</v>
      </c>
      <c r="K123" s="679"/>
      <c r="L123" s="679"/>
      <c r="M123" s="640">
        <f>'bieu 54'!I122+'bieu 54'!J122</f>
        <v>6324.358331</v>
      </c>
      <c r="N123" s="679">
        <v>59.89</v>
      </c>
      <c r="O123" s="679"/>
      <c r="P123" s="640">
        <f t="shared" si="17"/>
        <v>3802.3873</v>
      </c>
      <c r="Q123" s="640">
        <f>'bieu 54'!M122</f>
        <v>140.6</v>
      </c>
      <c r="R123" s="640">
        <f>'bieu 54'!N122</f>
        <v>3661.7873</v>
      </c>
      <c r="S123" s="680">
        <f>'bieu 54'!O122</f>
        <v>7400.560362</v>
      </c>
      <c r="T123" s="681">
        <f t="shared" si="18"/>
        <v>312.25881724261416</v>
      </c>
      <c r="U123" s="682"/>
      <c r="V123" s="681">
        <f t="shared" si="19"/>
        <v>115.03811341998902</v>
      </c>
      <c r="W123" s="683"/>
    </row>
    <row r="124" spans="1:23" s="123" customFormat="1" ht="28.5" customHeight="1">
      <c r="A124" s="355">
        <v>14</v>
      </c>
      <c r="B124" s="356" t="s">
        <v>282</v>
      </c>
      <c r="C124" s="640">
        <f t="shared" si="15"/>
        <v>4414.1</v>
      </c>
      <c r="D124" s="640">
        <f>'bieu 54'!D123</f>
        <v>0</v>
      </c>
      <c r="E124" s="640">
        <f>'bieu 54'!E123</f>
        <v>4323.31</v>
      </c>
      <c r="F124" s="678">
        <v>28.939999999999998</v>
      </c>
      <c r="G124" s="678"/>
      <c r="H124" s="640">
        <f>'bieu 54'!F123</f>
        <v>90.79</v>
      </c>
      <c r="I124" s="640">
        <f t="shared" si="16"/>
        <v>7286.987824000001</v>
      </c>
      <c r="J124" s="640">
        <f>'bieu 54'!H123</f>
        <v>550</v>
      </c>
      <c r="K124" s="679"/>
      <c r="L124" s="679"/>
      <c r="M124" s="640">
        <f>'bieu 54'!I123+'bieu 54'!J123</f>
        <v>5155.272825</v>
      </c>
      <c r="N124" s="679">
        <v>39.44</v>
      </c>
      <c r="O124" s="679"/>
      <c r="P124" s="640">
        <f t="shared" si="17"/>
        <v>107.328333</v>
      </c>
      <c r="Q124" s="640">
        <f>'bieu 54'!M123</f>
        <v>0</v>
      </c>
      <c r="R124" s="640">
        <f>'bieu 54'!N123</f>
        <v>107.328333</v>
      </c>
      <c r="S124" s="680">
        <f>'bieu 54'!O123</f>
        <v>1474.386666</v>
      </c>
      <c r="T124" s="681">
        <f t="shared" si="18"/>
        <v>165.0843393670284</v>
      </c>
      <c r="U124" s="682"/>
      <c r="V124" s="681">
        <f t="shared" si="19"/>
        <v>119.24365416775571</v>
      </c>
      <c r="W124" s="683"/>
    </row>
    <row r="125" spans="1:23" s="123" customFormat="1" ht="28.5" customHeight="1">
      <c r="A125" s="355">
        <v>15</v>
      </c>
      <c r="B125" s="356" t="s">
        <v>283</v>
      </c>
      <c r="C125" s="640">
        <f t="shared" si="15"/>
        <v>4559.5599999999995</v>
      </c>
      <c r="D125" s="640">
        <f>'bieu 54'!D124</f>
        <v>0</v>
      </c>
      <c r="E125" s="640">
        <f>'bieu 54'!E124</f>
        <v>4465.78</v>
      </c>
      <c r="F125" s="678">
        <v>28.939999999999998</v>
      </c>
      <c r="G125" s="678"/>
      <c r="H125" s="640">
        <f>'bieu 54'!F124</f>
        <v>93.78</v>
      </c>
      <c r="I125" s="640">
        <f t="shared" si="16"/>
        <v>7394.94133</v>
      </c>
      <c r="J125" s="640">
        <f>'bieu 54'!H124</f>
        <v>0</v>
      </c>
      <c r="K125" s="679"/>
      <c r="L125" s="679"/>
      <c r="M125" s="640">
        <f>'bieu 54'!I124+'bieu 54'!J124</f>
        <v>4899.7964569999995</v>
      </c>
      <c r="N125" s="679">
        <v>25.62</v>
      </c>
      <c r="O125" s="679"/>
      <c r="P125" s="640">
        <f t="shared" si="17"/>
        <v>1640.5237</v>
      </c>
      <c r="Q125" s="640">
        <f>'bieu 54'!M124</f>
        <v>1440.588</v>
      </c>
      <c r="R125" s="640">
        <f>'bieu 54'!N124</f>
        <v>199.9357</v>
      </c>
      <c r="S125" s="680">
        <f>'bieu 54'!O124</f>
        <v>854.621173</v>
      </c>
      <c r="T125" s="681">
        <f t="shared" si="18"/>
        <v>162.18541547868654</v>
      </c>
      <c r="U125" s="682"/>
      <c r="V125" s="681">
        <f t="shared" si="19"/>
        <v>109.71871558831828</v>
      </c>
      <c r="W125" s="683"/>
    </row>
    <row r="126" spans="1:23" s="123" customFormat="1" ht="28.5" customHeight="1">
      <c r="A126" s="355">
        <v>16</v>
      </c>
      <c r="B126" s="356" t="s">
        <v>284</v>
      </c>
      <c r="C126" s="640">
        <f t="shared" si="15"/>
        <v>4572.96</v>
      </c>
      <c r="D126" s="640">
        <f>'bieu 54'!D125</f>
        <v>0</v>
      </c>
      <c r="E126" s="640">
        <f>'bieu 54'!E125</f>
        <v>4478.9</v>
      </c>
      <c r="F126" s="678">
        <v>33.94</v>
      </c>
      <c r="G126" s="678"/>
      <c r="H126" s="640">
        <f>'bieu 54'!F125</f>
        <v>94.06</v>
      </c>
      <c r="I126" s="640">
        <f t="shared" si="16"/>
        <v>10851.325349</v>
      </c>
      <c r="J126" s="640">
        <f>'bieu 54'!H125</f>
        <v>0</v>
      </c>
      <c r="K126" s="679"/>
      <c r="L126" s="679"/>
      <c r="M126" s="640">
        <f>'bieu 54'!I125+'bieu 54'!J125</f>
        <v>4867.47851</v>
      </c>
      <c r="N126" s="679">
        <v>65.41</v>
      </c>
      <c r="O126" s="679"/>
      <c r="P126" s="640">
        <f t="shared" si="17"/>
        <v>4173.75845</v>
      </c>
      <c r="Q126" s="640">
        <f>'bieu 54'!M125</f>
        <v>1686.447</v>
      </c>
      <c r="R126" s="640">
        <f>'bieu 54'!N125</f>
        <v>2487.31145</v>
      </c>
      <c r="S126" s="680">
        <f>'bieu 54'!O125</f>
        <v>1810.088389</v>
      </c>
      <c r="T126" s="681">
        <f t="shared" si="18"/>
        <v>237.29324877103673</v>
      </c>
      <c r="U126" s="682"/>
      <c r="V126" s="681">
        <f t="shared" si="19"/>
        <v>108.67575766371206</v>
      </c>
      <c r="W126" s="683"/>
    </row>
    <row r="127" spans="1:23" s="123" customFormat="1" ht="28.5" customHeight="1">
      <c r="A127" s="355">
        <v>17</v>
      </c>
      <c r="B127" s="356" t="s">
        <v>285</v>
      </c>
      <c r="C127" s="640">
        <f t="shared" si="15"/>
        <v>5218.03</v>
      </c>
      <c r="D127" s="640">
        <f>'bieu 54'!D126</f>
        <v>0</v>
      </c>
      <c r="E127" s="640">
        <f>'bieu 54'!E126</f>
        <v>5110.71</v>
      </c>
      <c r="F127" s="678">
        <v>33.94</v>
      </c>
      <c r="G127" s="678"/>
      <c r="H127" s="640">
        <f>'bieu 54'!F126</f>
        <v>107.32</v>
      </c>
      <c r="I127" s="640">
        <f t="shared" si="16"/>
        <v>14841.137756</v>
      </c>
      <c r="J127" s="640">
        <f>'bieu 54'!H126</f>
        <v>0</v>
      </c>
      <c r="K127" s="679"/>
      <c r="L127" s="679"/>
      <c r="M127" s="640">
        <f>'bieu 54'!I126+'bieu 54'!J126</f>
        <v>5528.355142</v>
      </c>
      <c r="N127" s="679">
        <v>42.32</v>
      </c>
      <c r="O127" s="679"/>
      <c r="P127" s="640">
        <f t="shared" si="17"/>
        <v>5543.731400000001</v>
      </c>
      <c r="Q127" s="640">
        <f>'bieu 54'!M126</f>
        <v>2292.773</v>
      </c>
      <c r="R127" s="640">
        <f>'bieu 54'!N126</f>
        <v>3250.9584</v>
      </c>
      <c r="S127" s="680">
        <f>'bieu 54'!O126</f>
        <v>3769.051214</v>
      </c>
      <c r="T127" s="681">
        <f t="shared" si="18"/>
        <v>284.4203225355163</v>
      </c>
      <c r="U127" s="682"/>
      <c r="V127" s="681">
        <f t="shared" si="19"/>
        <v>108.17195931680726</v>
      </c>
      <c r="W127" s="683"/>
    </row>
    <row r="128" spans="1:22" s="2" customFormat="1" ht="21.75" customHeight="1">
      <c r="A128" s="357">
        <v>18</v>
      </c>
      <c r="B128" s="358" t="s">
        <v>286</v>
      </c>
      <c r="C128" s="653">
        <f t="shared" si="15"/>
        <v>4178.37</v>
      </c>
      <c r="D128" s="653">
        <f>'bieu 54'!D127</f>
        <v>0</v>
      </c>
      <c r="E128" s="653">
        <f>'bieu 54'!E127</f>
        <v>4092.43</v>
      </c>
      <c r="F128" s="684">
        <v>28.939999999999998</v>
      </c>
      <c r="G128" s="684"/>
      <c r="H128" s="653">
        <f>'bieu 54'!F127</f>
        <v>85.94</v>
      </c>
      <c r="I128" s="653">
        <f t="shared" si="16"/>
        <v>5607.375155</v>
      </c>
      <c r="J128" s="653">
        <f>'bieu 54'!H127</f>
        <v>0</v>
      </c>
      <c r="K128" s="685"/>
      <c r="L128" s="685"/>
      <c r="M128" s="653">
        <f>'bieu 54'!I127+'bieu 54'!J127</f>
        <v>4496.223657</v>
      </c>
      <c r="N128" s="685">
        <v>46.161</v>
      </c>
      <c r="O128" s="685"/>
      <c r="P128" s="653">
        <f t="shared" si="17"/>
        <v>597.2979</v>
      </c>
      <c r="Q128" s="653">
        <f>'bieu 54'!M127</f>
        <v>0</v>
      </c>
      <c r="R128" s="653">
        <f>'bieu 54'!N127</f>
        <v>597.2979</v>
      </c>
      <c r="S128" s="686">
        <f>'bieu 54'!O127</f>
        <v>513.853598</v>
      </c>
      <c r="T128" s="687">
        <f t="shared" si="18"/>
        <v>134.20006258421347</v>
      </c>
      <c r="U128" s="688"/>
      <c r="V128" s="687">
        <f t="shared" si="19"/>
        <v>109.86684334246402</v>
      </c>
    </row>
    <row r="129" spans="1:15" s="31" customFormat="1" ht="15">
      <c r="A129" s="160"/>
      <c r="F129" s="66"/>
      <c r="G129" s="66"/>
      <c r="H129" s="53"/>
      <c r="K129" s="66"/>
      <c r="L129" s="66"/>
      <c r="N129" s="66"/>
      <c r="O129" s="66"/>
    </row>
    <row r="130" spans="1:15" s="31" customFormat="1" ht="15">
      <c r="A130" s="161"/>
      <c r="F130" s="66"/>
      <c r="G130" s="66"/>
      <c r="H130" s="53"/>
      <c r="K130" s="66"/>
      <c r="L130" s="66"/>
      <c r="N130" s="66"/>
      <c r="O130" s="66"/>
    </row>
    <row r="131" spans="1:22" ht="18">
      <c r="A131" s="161"/>
      <c r="B131" s="31"/>
      <c r="C131" s="31"/>
      <c r="D131" s="31"/>
      <c r="E131" s="31"/>
      <c r="F131" s="66"/>
      <c r="G131" s="66"/>
      <c r="H131" s="53"/>
      <c r="I131" s="31"/>
      <c r="J131" s="31"/>
      <c r="K131" s="66"/>
      <c r="L131" s="66"/>
      <c r="M131" s="31"/>
      <c r="N131" s="66"/>
      <c r="O131" s="66"/>
      <c r="P131" s="31"/>
      <c r="Q131" s="31"/>
      <c r="R131" s="31"/>
      <c r="S131" s="31"/>
      <c r="T131" s="31"/>
      <c r="U131" s="31"/>
      <c r="V131" s="31"/>
    </row>
  </sheetData>
  <sheetProtection/>
  <mergeCells count="30">
    <mergeCell ref="A3:V3"/>
    <mergeCell ref="A4:V4"/>
    <mergeCell ref="C6:H6"/>
    <mergeCell ref="I6:S6"/>
    <mergeCell ref="T6:V6"/>
    <mergeCell ref="P8:P9"/>
    <mergeCell ref="J7:L7"/>
    <mergeCell ref="S7:S9"/>
    <mergeCell ref="T7:T9"/>
    <mergeCell ref="J8:J9"/>
    <mergeCell ref="F7:G7"/>
    <mergeCell ref="P7:R7"/>
    <mergeCell ref="D7:D9"/>
    <mergeCell ref="C7:C9"/>
    <mergeCell ref="E7:E9"/>
    <mergeCell ref="A6:A9"/>
    <mergeCell ref="B6:B9"/>
    <mergeCell ref="K8:L8"/>
    <mergeCell ref="M8:M9"/>
    <mergeCell ref="N8:O8"/>
    <mergeCell ref="R1:V1"/>
    <mergeCell ref="R2:V2"/>
    <mergeCell ref="U7:U9"/>
    <mergeCell ref="V7:V9"/>
    <mergeCell ref="F8:F9"/>
    <mergeCell ref="G8:G9"/>
    <mergeCell ref="Q8:R8"/>
    <mergeCell ref="H7:H9"/>
    <mergeCell ref="I7:I9"/>
    <mergeCell ref="M7:O7"/>
  </mergeCells>
  <printOptions horizontalCentered="1"/>
  <pageMargins left="0" right="0" top="0.984251968503937" bottom="0.5905511811023623" header="0" footer="0"/>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AA32"/>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4" sqref="A4:Z4"/>
    </sheetView>
  </sheetViews>
  <sheetFormatPr defaultColWidth="9.140625" defaultRowHeight="12.75"/>
  <cols>
    <col min="1" max="1" width="4.8515625" style="1" customWidth="1"/>
    <col min="2" max="2" width="12.421875" style="1" customWidth="1"/>
    <col min="3" max="3" width="11.57421875" style="1" customWidth="1"/>
    <col min="4" max="4" width="12.140625" style="1" customWidth="1"/>
    <col min="5" max="5" width="7.8515625" style="1" customWidth="1"/>
    <col min="6" max="6" width="4.8515625" style="1" customWidth="1"/>
    <col min="7" max="7" width="5.28125" style="1" customWidth="1"/>
    <col min="8" max="8" width="5.57421875" style="1" customWidth="1"/>
    <col min="9" max="9" width="5.140625" style="1" customWidth="1"/>
    <col min="10" max="10" width="5.57421875" style="1" customWidth="1"/>
    <col min="11" max="11" width="12.8515625" style="1" customWidth="1"/>
    <col min="12" max="12" width="11.421875" style="1" customWidth="1"/>
    <col min="13" max="13" width="12.00390625" style="1" customWidth="1"/>
    <col min="14" max="14" width="5.140625" style="1" customWidth="1"/>
    <col min="15" max="15" width="13.7109375" style="1" customWidth="1"/>
    <col min="16" max="16" width="6.421875" style="1" customWidth="1"/>
    <col min="17" max="17" width="6.140625" style="1" customWidth="1"/>
    <col min="18" max="18" width="5.421875" style="1" customWidth="1"/>
    <col min="19" max="19" width="9.8515625" style="1" customWidth="1"/>
    <col min="20" max="20" width="8.57421875" style="1" customWidth="1"/>
    <col min="21" max="22" width="6.28125" style="1" customWidth="1"/>
    <col min="23" max="25" width="6.140625" style="1" customWidth="1"/>
    <col min="26" max="26" width="6.7109375" style="1" customWidth="1"/>
    <col min="27" max="16384" width="9.140625" style="1" customWidth="1"/>
  </cols>
  <sheetData>
    <row r="1" spans="2:26" ht="12.75">
      <c r="B1" s="112"/>
      <c r="C1" s="112"/>
      <c r="D1" s="112"/>
      <c r="E1" s="112"/>
      <c r="F1" s="112"/>
      <c r="G1" s="112"/>
      <c r="H1" s="112"/>
      <c r="I1" s="112"/>
      <c r="J1" s="112"/>
      <c r="K1" s="112"/>
      <c r="L1" s="112"/>
      <c r="M1" s="112"/>
      <c r="N1" s="112"/>
      <c r="O1" s="112"/>
      <c r="P1" s="112"/>
      <c r="Q1" s="112"/>
      <c r="R1" s="112"/>
      <c r="S1" s="863" t="s">
        <v>184</v>
      </c>
      <c r="T1" s="863"/>
      <c r="U1" s="863"/>
      <c r="V1" s="863"/>
      <c r="W1" s="863"/>
      <c r="X1" s="863"/>
      <c r="Y1" s="863"/>
      <c r="Z1" s="863"/>
    </row>
    <row r="2" spans="2:26" ht="12.75">
      <c r="B2" s="112"/>
      <c r="C2" s="112"/>
      <c r="D2" s="112"/>
      <c r="E2" s="112"/>
      <c r="F2" s="112"/>
      <c r="G2" s="112"/>
      <c r="H2" s="112"/>
      <c r="I2" s="112"/>
      <c r="J2" s="112"/>
      <c r="K2" s="112"/>
      <c r="L2" s="112"/>
      <c r="M2" s="112"/>
      <c r="N2" s="112"/>
      <c r="O2" s="112"/>
      <c r="P2" s="112"/>
      <c r="Q2" s="112"/>
      <c r="R2" s="112"/>
      <c r="S2" s="862" t="s">
        <v>625</v>
      </c>
      <c r="T2" s="862"/>
      <c r="U2" s="862"/>
      <c r="V2" s="862"/>
      <c r="W2" s="862"/>
      <c r="X2" s="862"/>
      <c r="Y2" s="862"/>
      <c r="Z2" s="862"/>
    </row>
    <row r="3" spans="1:26" ht="12.75">
      <c r="A3" s="863" t="s">
        <v>791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row>
    <row r="4" spans="1:26" ht="12.75">
      <c r="A4" s="865" t="str">
        <f>'bieu 48 '!A4:F4</f>
        <v>(Kèm theo Báo cáo số 627/BC-UBND ngày 10 tháng 7 năm 2024 của UBND huyện Bắc Sơn)</v>
      </c>
      <c r="B4" s="865"/>
      <c r="C4" s="865"/>
      <c r="D4" s="865"/>
      <c r="E4" s="865"/>
      <c r="F4" s="865"/>
      <c r="G4" s="865"/>
      <c r="H4" s="865"/>
      <c r="I4" s="865"/>
      <c r="J4" s="865"/>
      <c r="K4" s="865"/>
      <c r="L4" s="865"/>
      <c r="M4" s="865"/>
      <c r="N4" s="865"/>
      <c r="O4" s="865"/>
      <c r="P4" s="865"/>
      <c r="Q4" s="865"/>
      <c r="R4" s="865"/>
      <c r="S4" s="865"/>
      <c r="T4" s="865"/>
      <c r="U4" s="865"/>
      <c r="V4" s="865"/>
      <c r="W4" s="865"/>
      <c r="X4" s="865"/>
      <c r="Y4" s="865"/>
      <c r="Z4" s="865"/>
    </row>
    <row r="5" spans="1:26" s="69" customFormat="1" ht="12.75">
      <c r="A5" s="1"/>
      <c r="B5" s="112"/>
      <c r="C5" s="112"/>
      <c r="D5" s="112"/>
      <c r="E5" s="112"/>
      <c r="F5" s="112"/>
      <c r="G5" s="112"/>
      <c r="H5" s="112"/>
      <c r="I5" s="112"/>
      <c r="J5" s="112"/>
      <c r="K5" s="112"/>
      <c r="L5" s="112"/>
      <c r="M5" s="112"/>
      <c r="N5" s="112"/>
      <c r="O5" s="112"/>
      <c r="P5" s="112"/>
      <c r="Q5" s="112"/>
      <c r="R5" s="112"/>
      <c r="S5" s="113" t="s">
        <v>22</v>
      </c>
      <c r="T5" s="112"/>
      <c r="U5" s="112"/>
      <c r="V5" s="112"/>
      <c r="W5" s="112"/>
      <c r="X5" s="112"/>
      <c r="Y5" s="112"/>
      <c r="Z5" s="112"/>
    </row>
    <row r="6" spans="1:26" s="69" customFormat="1" ht="12.75">
      <c r="A6" s="864" t="s">
        <v>23</v>
      </c>
      <c r="B6" s="864" t="s">
        <v>179</v>
      </c>
      <c r="C6" s="864" t="s">
        <v>25</v>
      </c>
      <c r="D6" s="864"/>
      <c r="E6" s="864"/>
      <c r="F6" s="864"/>
      <c r="G6" s="864"/>
      <c r="H6" s="864"/>
      <c r="I6" s="864"/>
      <c r="J6" s="864"/>
      <c r="K6" s="864" t="s">
        <v>26</v>
      </c>
      <c r="L6" s="864"/>
      <c r="M6" s="864"/>
      <c r="N6" s="864"/>
      <c r="O6" s="864"/>
      <c r="P6" s="864"/>
      <c r="Q6" s="864"/>
      <c r="R6" s="864"/>
      <c r="S6" s="864" t="s">
        <v>185</v>
      </c>
      <c r="T6" s="864"/>
      <c r="U6" s="864"/>
      <c r="V6" s="864"/>
      <c r="W6" s="864"/>
      <c r="X6" s="864"/>
      <c r="Y6" s="864"/>
      <c r="Z6" s="864"/>
    </row>
    <row r="7" spans="1:26" s="69" customFormat="1" ht="37.5" customHeight="1">
      <c r="A7" s="864"/>
      <c r="B7" s="864"/>
      <c r="C7" s="864" t="s">
        <v>154</v>
      </c>
      <c r="D7" s="864" t="s">
        <v>80</v>
      </c>
      <c r="E7" s="864" t="s">
        <v>81</v>
      </c>
      <c r="F7" s="864"/>
      <c r="G7" s="864"/>
      <c r="H7" s="864"/>
      <c r="I7" s="864"/>
      <c r="J7" s="864"/>
      <c r="K7" s="864" t="s">
        <v>154</v>
      </c>
      <c r="L7" s="864" t="s">
        <v>80</v>
      </c>
      <c r="M7" s="864" t="s">
        <v>81</v>
      </c>
      <c r="N7" s="864"/>
      <c r="O7" s="864"/>
      <c r="P7" s="864"/>
      <c r="Q7" s="864"/>
      <c r="R7" s="864"/>
      <c r="S7" s="864" t="s">
        <v>154</v>
      </c>
      <c r="T7" s="864" t="s">
        <v>80</v>
      </c>
      <c r="U7" s="864" t="s">
        <v>81</v>
      </c>
      <c r="V7" s="864"/>
      <c r="W7" s="864"/>
      <c r="X7" s="864"/>
      <c r="Y7" s="864"/>
      <c r="Z7" s="864"/>
    </row>
    <row r="8" spans="1:26" s="69" customFormat="1" ht="105" customHeight="1">
      <c r="A8" s="864"/>
      <c r="B8" s="864"/>
      <c r="C8" s="864"/>
      <c r="D8" s="864"/>
      <c r="E8" s="864" t="s">
        <v>154</v>
      </c>
      <c r="F8" s="864" t="s">
        <v>186</v>
      </c>
      <c r="G8" s="864"/>
      <c r="H8" s="864" t="s">
        <v>187</v>
      </c>
      <c r="I8" s="864" t="s">
        <v>188</v>
      </c>
      <c r="J8" s="864" t="s">
        <v>189</v>
      </c>
      <c r="K8" s="864"/>
      <c r="L8" s="864"/>
      <c r="M8" s="864" t="s">
        <v>154</v>
      </c>
      <c r="N8" s="864" t="s">
        <v>186</v>
      </c>
      <c r="O8" s="864"/>
      <c r="P8" s="864" t="s">
        <v>187</v>
      </c>
      <c r="Q8" s="864" t="s">
        <v>188</v>
      </c>
      <c r="R8" s="864" t="s">
        <v>189</v>
      </c>
      <c r="S8" s="864"/>
      <c r="T8" s="864"/>
      <c r="U8" s="864" t="s">
        <v>154</v>
      </c>
      <c r="V8" s="864" t="s">
        <v>186</v>
      </c>
      <c r="W8" s="864"/>
      <c r="X8" s="864" t="s">
        <v>187</v>
      </c>
      <c r="Y8" s="864" t="s">
        <v>188</v>
      </c>
      <c r="Z8" s="864" t="s">
        <v>189</v>
      </c>
    </row>
    <row r="9" spans="1:26" s="69" customFormat="1" ht="51.75">
      <c r="A9" s="864"/>
      <c r="B9" s="864"/>
      <c r="C9" s="864"/>
      <c r="D9" s="864"/>
      <c r="E9" s="864"/>
      <c r="F9" s="232" t="s">
        <v>190</v>
      </c>
      <c r="G9" s="232" t="s">
        <v>191</v>
      </c>
      <c r="H9" s="864"/>
      <c r="I9" s="864"/>
      <c r="J9" s="864"/>
      <c r="K9" s="864"/>
      <c r="L9" s="864"/>
      <c r="M9" s="864"/>
      <c r="N9" s="232" t="s">
        <v>190</v>
      </c>
      <c r="O9" s="232" t="s">
        <v>191</v>
      </c>
      <c r="P9" s="864"/>
      <c r="Q9" s="864"/>
      <c r="R9" s="864"/>
      <c r="S9" s="864"/>
      <c r="T9" s="864"/>
      <c r="U9" s="864"/>
      <c r="V9" s="232" t="s">
        <v>190</v>
      </c>
      <c r="W9" s="232" t="s">
        <v>191</v>
      </c>
      <c r="X9" s="864"/>
      <c r="Y9" s="864"/>
      <c r="Z9" s="864"/>
    </row>
    <row r="10" spans="1:26" s="121" customFormat="1" ht="25.5" customHeight="1">
      <c r="A10" s="333" t="s">
        <v>30</v>
      </c>
      <c r="B10" s="333" t="s">
        <v>31</v>
      </c>
      <c r="C10" s="333">
        <v>1</v>
      </c>
      <c r="D10" s="333">
        <v>2</v>
      </c>
      <c r="E10" s="333" t="s">
        <v>289</v>
      </c>
      <c r="F10" s="333">
        <v>4</v>
      </c>
      <c r="G10" s="333">
        <v>5</v>
      </c>
      <c r="H10" s="333">
        <v>6</v>
      </c>
      <c r="I10" s="333">
        <v>7</v>
      </c>
      <c r="J10" s="333">
        <v>8</v>
      </c>
      <c r="K10" s="333">
        <v>9</v>
      </c>
      <c r="L10" s="333">
        <v>10</v>
      </c>
      <c r="M10" s="333" t="s">
        <v>192</v>
      </c>
      <c r="N10" s="333">
        <v>12</v>
      </c>
      <c r="O10" s="333">
        <v>13</v>
      </c>
      <c r="P10" s="333">
        <v>14</v>
      </c>
      <c r="Q10" s="333">
        <v>15</v>
      </c>
      <c r="R10" s="333">
        <v>16</v>
      </c>
      <c r="S10" s="333" t="s">
        <v>193</v>
      </c>
      <c r="T10" s="333" t="s">
        <v>194</v>
      </c>
      <c r="U10" s="333" t="s">
        <v>195</v>
      </c>
      <c r="V10" s="333" t="s">
        <v>196</v>
      </c>
      <c r="W10" s="333" t="s">
        <v>197</v>
      </c>
      <c r="X10" s="333" t="s">
        <v>198</v>
      </c>
      <c r="Y10" s="333" t="s">
        <v>199</v>
      </c>
      <c r="Z10" s="333" t="s">
        <v>200</v>
      </c>
    </row>
    <row r="11" spans="1:27" s="123" customFormat="1" ht="20.25" customHeight="1">
      <c r="A11" s="334"/>
      <c r="B11" s="334" t="s">
        <v>158</v>
      </c>
      <c r="C11" s="689">
        <f>SUM(C12:C29)</f>
        <v>82298.37</v>
      </c>
      <c r="D11" s="689">
        <f aca="true" t="shared" si="0" ref="D11:R11">SUM(D12:D29)</f>
        <v>82298.37</v>
      </c>
      <c r="E11" s="689">
        <f>SUM(E12:E29)</f>
        <v>0</v>
      </c>
      <c r="F11" s="689">
        <f t="shared" si="0"/>
        <v>0</v>
      </c>
      <c r="G11" s="689">
        <f t="shared" si="0"/>
        <v>0</v>
      </c>
      <c r="H11" s="689">
        <f t="shared" si="0"/>
        <v>0</v>
      </c>
      <c r="I11" s="689">
        <f t="shared" si="0"/>
        <v>0</v>
      </c>
      <c r="J11" s="689">
        <f t="shared" si="0"/>
        <v>0</v>
      </c>
      <c r="K11" s="689">
        <f t="shared" si="0"/>
        <v>135939.384</v>
      </c>
      <c r="L11" s="689">
        <f t="shared" si="0"/>
        <v>82298.37</v>
      </c>
      <c r="M11" s="689">
        <f t="shared" si="0"/>
        <v>53641.014</v>
      </c>
      <c r="N11" s="689">
        <f t="shared" si="0"/>
        <v>0</v>
      </c>
      <c r="O11" s="689">
        <f t="shared" si="0"/>
        <v>53641.014</v>
      </c>
      <c r="P11" s="689">
        <f t="shared" si="0"/>
        <v>0</v>
      </c>
      <c r="Q11" s="689">
        <f t="shared" si="0"/>
        <v>0</v>
      </c>
      <c r="R11" s="689">
        <f t="shared" si="0"/>
        <v>0</v>
      </c>
      <c r="S11" s="690">
        <f>K11/C11*100</f>
        <v>165.17870767063795</v>
      </c>
      <c r="T11" s="691">
        <f>L11/D11*100</f>
        <v>100</v>
      </c>
      <c r="U11" s="691"/>
      <c r="V11" s="691"/>
      <c r="W11" s="691"/>
      <c r="X11" s="691"/>
      <c r="Y11" s="691"/>
      <c r="Z11" s="691"/>
      <c r="AA11" s="692"/>
    </row>
    <row r="12" spans="1:27" s="123" customFormat="1" ht="20.25" customHeight="1">
      <c r="A12" s="227">
        <v>1</v>
      </c>
      <c r="B12" s="228" t="s">
        <v>270</v>
      </c>
      <c r="C12" s="693">
        <f>D12+E12</f>
        <v>3080.23</v>
      </c>
      <c r="D12" s="694">
        <f>'[2]bieu 60'!E10</f>
        <v>3080.23</v>
      </c>
      <c r="E12" s="694">
        <f>F12+G12</f>
        <v>0</v>
      </c>
      <c r="F12" s="693"/>
      <c r="G12" s="694"/>
      <c r="H12" s="695"/>
      <c r="I12" s="695"/>
      <c r="J12" s="695"/>
      <c r="K12" s="696">
        <f>L12+O12</f>
        <v>3376.577</v>
      </c>
      <c r="L12" s="694">
        <f>'[2]bieu 60'!E10</f>
        <v>3080.23</v>
      </c>
      <c r="M12" s="695">
        <f>N12+O12</f>
        <v>296.347</v>
      </c>
      <c r="N12" s="695"/>
      <c r="O12" s="694">
        <f>'[2]bieu 60'!I10</f>
        <v>296.347</v>
      </c>
      <c r="P12" s="695"/>
      <c r="Q12" s="695"/>
      <c r="R12" s="697"/>
      <c r="S12" s="695">
        <f>K12/C12*100</f>
        <v>109.620937397532</v>
      </c>
      <c r="T12" s="698">
        <f>L12/D12*100</f>
        <v>100</v>
      </c>
      <c r="U12" s="698"/>
      <c r="V12" s="698"/>
      <c r="W12" s="698"/>
      <c r="X12" s="698"/>
      <c r="Y12" s="698"/>
      <c r="Z12" s="698"/>
      <c r="AA12" s="692"/>
    </row>
    <row r="13" spans="1:27" s="123" customFormat="1" ht="20.25" customHeight="1">
      <c r="A13" s="227">
        <v>2</v>
      </c>
      <c r="B13" s="228" t="s">
        <v>271</v>
      </c>
      <c r="C13" s="693">
        <f aca="true" t="shared" si="1" ref="C13:C29">D13+E13</f>
        <v>5349.83</v>
      </c>
      <c r="D13" s="694">
        <f>'[2]bieu 60'!E11</f>
        <v>5349.83</v>
      </c>
      <c r="E13" s="694">
        <f aca="true" t="shared" si="2" ref="E13:E29">F13+G13</f>
        <v>0</v>
      </c>
      <c r="F13" s="693"/>
      <c r="G13" s="694"/>
      <c r="H13" s="695"/>
      <c r="I13" s="695"/>
      <c r="J13" s="695"/>
      <c r="K13" s="696">
        <f aca="true" t="shared" si="3" ref="K13:K29">L13+O13</f>
        <v>7229.526</v>
      </c>
      <c r="L13" s="694">
        <f>'[2]bieu 60'!E11</f>
        <v>5349.83</v>
      </c>
      <c r="M13" s="695">
        <f aca="true" t="shared" si="4" ref="M13:M29">N13+O13</f>
        <v>1879.696</v>
      </c>
      <c r="N13" s="695"/>
      <c r="O13" s="694">
        <f>'[2]bieu 60'!I11</f>
        <v>1879.696</v>
      </c>
      <c r="P13" s="695"/>
      <c r="Q13" s="695"/>
      <c r="R13" s="697"/>
      <c r="S13" s="695">
        <f aca="true" t="shared" si="5" ref="S13:T29">K13/C13*100</f>
        <v>135.13562113188644</v>
      </c>
      <c r="T13" s="698">
        <f t="shared" si="5"/>
        <v>100</v>
      </c>
      <c r="U13" s="698"/>
      <c r="V13" s="698"/>
      <c r="W13" s="698"/>
      <c r="X13" s="698"/>
      <c r="Y13" s="698"/>
      <c r="Z13" s="698"/>
      <c r="AA13" s="692"/>
    </row>
    <row r="14" spans="1:27" s="123" customFormat="1" ht="20.25" customHeight="1">
      <c r="A14" s="227">
        <v>3</v>
      </c>
      <c r="B14" s="228" t="s">
        <v>9</v>
      </c>
      <c r="C14" s="693">
        <f t="shared" si="1"/>
        <v>5190.75</v>
      </c>
      <c r="D14" s="694">
        <f>'[2]bieu 60'!E12</f>
        <v>5190.75</v>
      </c>
      <c r="E14" s="694">
        <f t="shared" si="2"/>
        <v>0</v>
      </c>
      <c r="F14" s="693"/>
      <c r="G14" s="694"/>
      <c r="H14" s="695"/>
      <c r="I14" s="695"/>
      <c r="J14" s="695"/>
      <c r="K14" s="696">
        <f t="shared" si="3"/>
        <v>6630.934</v>
      </c>
      <c r="L14" s="694">
        <f>'[2]bieu 60'!E12</f>
        <v>5190.75</v>
      </c>
      <c r="M14" s="695">
        <f t="shared" si="4"/>
        <v>1440.184</v>
      </c>
      <c r="N14" s="695"/>
      <c r="O14" s="694">
        <f>'[2]bieu 60'!I12</f>
        <v>1440.184</v>
      </c>
      <c r="P14" s="695"/>
      <c r="Q14" s="695"/>
      <c r="R14" s="697"/>
      <c r="S14" s="695">
        <f t="shared" si="5"/>
        <v>127.74520059721621</v>
      </c>
      <c r="T14" s="698">
        <f t="shared" si="5"/>
        <v>100</v>
      </c>
      <c r="U14" s="698"/>
      <c r="V14" s="698"/>
      <c r="W14" s="698"/>
      <c r="X14" s="698"/>
      <c r="Y14" s="698"/>
      <c r="Z14" s="698"/>
      <c r="AA14" s="692"/>
    </row>
    <row r="15" spans="1:27" s="123" customFormat="1" ht="20.25" customHeight="1">
      <c r="A15" s="227">
        <v>4</v>
      </c>
      <c r="B15" s="228" t="s">
        <v>272</v>
      </c>
      <c r="C15" s="693">
        <f t="shared" si="1"/>
        <v>5112.44</v>
      </c>
      <c r="D15" s="694">
        <f>'[2]bieu 60'!E13</f>
        <v>5112.44</v>
      </c>
      <c r="E15" s="694">
        <f t="shared" si="2"/>
        <v>0</v>
      </c>
      <c r="F15" s="693"/>
      <c r="G15" s="694"/>
      <c r="H15" s="695"/>
      <c r="I15" s="695"/>
      <c r="J15" s="695"/>
      <c r="K15" s="696">
        <f t="shared" si="3"/>
        <v>5471.418</v>
      </c>
      <c r="L15" s="694">
        <f>'[2]bieu 60'!E13</f>
        <v>5112.44</v>
      </c>
      <c r="M15" s="695">
        <f t="shared" si="4"/>
        <v>358.978</v>
      </c>
      <c r="N15" s="695"/>
      <c r="O15" s="694">
        <f>'[2]bieu 60'!I13</f>
        <v>358.978</v>
      </c>
      <c r="P15" s="695"/>
      <c r="Q15" s="695"/>
      <c r="R15" s="697"/>
      <c r="S15" s="695">
        <f t="shared" si="5"/>
        <v>107.02165697788139</v>
      </c>
      <c r="T15" s="698">
        <f t="shared" si="5"/>
        <v>100</v>
      </c>
      <c r="U15" s="698"/>
      <c r="V15" s="698"/>
      <c r="W15" s="698"/>
      <c r="X15" s="698"/>
      <c r="Y15" s="698"/>
      <c r="Z15" s="698"/>
      <c r="AA15" s="692"/>
    </row>
    <row r="16" spans="1:27" s="123" customFormat="1" ht="20.25" customHeight="1">
      <c r="A16" s="227">
        <v>5</v>
      </c>
      <c r="B16" s="228" t="s">
        <v>273</v>
      </c>
      <c r="C16" s="693">
        <f t="shared" si="1"/>
        <v>6434.29</v>
      </c>
      <c r="D16" s="694">
        <f>'[2]bieu 60'!E14</f>
        <v>6434.29</v>
      </c>
      <c r="E16" s="694">
        <f t="shared" si="2"/>
        <v>0</v>
      </c>
      <c r="F16" s="693"/>
      <c r="G16" s="694"/>
      <c r="H16" s="695"/>
      <c r="I16" s="695"/>
      <c r="J16" s="695"/>
      <c r="K16" s="696">
        <f t="shared" si="3"/>
        <v>14684.422999999999</v>
      </c>
      <c r="L16" s="694">
        <f>'[2]bieu 60'!E14</f>
        <v>6434.29</v>
      </c>
      <c r="M16" s="695">
        <f t="shared" si="4"/>
        <v>8250.133</v>
      </c>
      <c r="N16" s="695"/>
      <c r="O16" s="694">
        <f>'[2]bieu 60'!I14</f>
        <v>8250.133</v>
      </c>
      <c r="P16" s="695"/>
      <c r="Q16" s="695"/>
      <c r="R16" s="697"/>
      <c r="S16" s="695">
        <f t="shared" si="5"/>
        <v>228.22134221491416</v>
      </c>
      <c r="T16" s="698">
        <f t="shared" si="5"/>
        <v>100</v>
      </c>
      <c r="U16" s="698"/>
      <c r="V16" s="698"/>
      <c r="W16" s="698"/>
      <c r="X16" s="698"/>
      <c r="Y16" s="698"/>
      <c r="Z16" s="698"/>
      <c r="AA16" s="692"/>
    </row>
    <row r="17" spans="1:27" s="123" customFormat="1" ht="20.25" customHeight="1">
      <c r="A17" s="227">
        <v>6</v>
      </c>
      <c r="B17" s="228" t="s">
        <v>274</v>
      </c>
      <c r="C17" s="693">
        <f t="shared" si="1"/>
        <v>4633.08</v>
      </c>
      <c r="D17" s="694">
        <f>'[2]bieu 60'!E15</f>
        <v>4633.08</v>
      </c>
      <c r="E17" s="694">
        <f t="shared" si="2"/>
        <v>0</v>
      </c>
      <c r="F17" s="693"/>
      <c r="G17" s="694"/>
      <c r="H17" s="695"/>
      <c r="I17" s="695"/>
      <c r="J17" s="695"/>
      <c r="K17" s="696">
        <f t="shared" si="3"/>
        <v>5808.798</v>
      </c>
      <c r="L17" s="694">
        <f>'[2]bieu 60'!E15</f>
        <v>4633.08</v>
      </c>
      <c r="M17" s="695">
        <f t="shared" si="4"/>
        <v>1175.718</v>
      </c>
      <c r="N17" s="695"/>
      <c r="O17" s="694">
        <f>'[2]bieu 60'!I15</f>
        <v>1175.718</v>
      </c>
      <c r="P17" s="695"/>
      <c r="Q17" s="695"/>
      <c r="R17" s="697"/>
      <c r="S17" s="695">
        <f t="shared" si="5"/>
        <v>125.3765961304359</v>
      </c>
      <c r="T17" s="698">
        <f t="shared" si="5"/>
        <v>100</v>
      </c>
      <c r="U17" s="698"/>
      <c r="V17" s="698"/>
      <c r="W17" s="698"/>
      <c r="X17" s="698"/>
      <c r="Y17" s="698"/>
      <c r="Z17" s="698"/>
      <c r="AA17" s="692"/>
    </row>
    <row r="18" spans="1:27" s="123" customFormat="1" ht="20.25" customHeight="1">
      <c r="A18" s="227">
        <v>7</v>
      </c>
      <c r="B18" s="228" t="s">
        <v>275</v>
      </c>
      <c r="C18" s="693">
        <f t="shared" si="1"/>
        <v>3701.38</v>
      </c>
      <c r="D18" s="694">
        <f>'[2]bieu 60'!E16</f>
        <v>3701.38</v>
      </c>
      <c r="E18" s="694">
        <f t="shared" si="2"/>
        <v>0</v>
      </c>
      <c r="F18" s="693"/>
      <c r="G18" s="694"/>
      <c r="H18" s="695"/>
      <c r="I18" s="695"/>
      <c r="J18" s="695"/>
      <c r="K18" s="696">
        <f t="shared" si="3"/>
        <v>4630.233</v>
      </c>
      <c r="L18" s="694">
        <f>'[2]bieu 60'!E16</f>
        <v>3701.38</v>
      </c>
      <c r="M18" s="695">
        <f t="shared" si="4"/>
        <v>928.853</v>
      </c>
      <c r="N18" s="695"/>
      <c r="O18" s="694">
        <f>'[2]bieu 60'!I16</f>
        <v>928.853</v>
      </c>
      <c r="P18" s="695"/>
      <c r="Q18" s="695"/>
      <c r="R18" s="697"/>
      <c r="S18" s="695">
        <f t="shared" si="5"/>
        <v>125.09477546212493</v>
      </c>
      <c r="T18" s="698">
        <f t="shared" si="5"/>
        <v>100</v>
      </c>
      <c r="U18" s="698"/>
      <c r="V18" s="698"/>
      <c r="W18" s="698"/>
      <c r="X18" s="698"/>
      <c r="Y18" s="698"/>
      <c r="Z18" s="698"/>
      <c r="AA18" s="692"/>
    </row>
    <row r="19" spans="1:27" s="123" customFormat="1" ht="20.25" customHeight="1">
      <c r="A19" s="227">
        <v>8</v>
      </c>
      <c r="B19" s="228" t="s">
        <v>276</v>
      </c>
      <c r="C19" s="693">
        <f t="shared" si="1"/>
        <v>3908.75</v>
      </c>
      <c r="D19" s="694">
        <f>'[2]bieu 60'!E17</f>
        <v>3908.75</v>
      </c>
      <c r="E19" s="694">
        <f t="shared" si="2"/>
        <v>0</v>
      </c>
      <c r="F19" s="693"/>
      <c r="G19" s="694"/>
      <c r="H19" s="695"/>
      <c r="I19" s="695"/>
      <c r="J19" s="695"/>
      <c r="K19" s="696">
        <f t="shared" si="3"/>
        <v>5201.845</v>
      </c>
      <c r="L19" s="694">
        <f>'[2]bieu 60'!E17</f>
        <v>3908.75</v>
      </c>
      <c r="M19" s="695">
        <f t="shared" si="4"/>
        <v>1293.095</v>
      </c>
      <c r="N19" s="695"/>
      <c r="O19" s="694">
        <f>'[2]bieu 60'!I17</f>
        <v>1293.095</v>
      </c>
      <c r="P19" s="695"/>
      <c r="Q19" s="695"/>
      <c r="R19" s="697"/>
      <c r="S19" s="695">
        <f t="shared" si="5"/>
        <v>133.08205948193157</v>
      </c>
      <c r="T19" s="698">
        <f t="shared" si="5"/>
        <v>100</v>
      </c>
      <c r="U19" s="698"/>
      <c r="V19" s="698"/>
      <c r="W19" s="698"/>
      <c r="X19" s="698"/>
      <c r="Y19" s="698"/>
      <c r="Z19" s="698"/>
      <c r="AA19" s="692"/>
    </row>
    <row r="20" spans="1:27" s="123" customFormat="1" ht="20.25" customHeight="1">
      <c r="A20" s="227">
        <v>9</v>
      </c>
      <c r="B20" s="228" t="s">
        <v>277</v>
      </c>
      <c r="C20" s="693">
        <f t="shared" si="1"/>
        <v>4334.68</v>
      </c>
      <c r="D20" s="694">
        <f>'[2]bieu 60'!E18</f>
        <v>4334.68</v>
      </c>
      <c r="E20" s="694">
        <f t="shared" si="2"/>
        <v>0</v>
      </c>
      <c r="F20" s="693"/>
      <c r="G20" s="694"/>
      <c r="H20" s="695"/>
      <c r="I20" s="695"/>
      <c r="J20" s="695"/>
      <c r="K20" s="696">
        <f t="shared" si="3"/>
        <v>9053.07</v>
      </c>
      <c r="L20" s="694">
        <f>'[2]bieu 60'!E18</f>
        <v>4334.68</v>
      </c>
      <c r="M20" s="695">
        <f>N20+O20</f>
        <v>4718.39</v>
      </c>
      <c r="N20" s="695"/>
      <c r="O20" s="694">
        <f>'[2]bieu 60'!I18</f>
        <v>4718.39</v>
      </c>
      <c r="P20" s="695"/>
      <c r="Q20" s="695"/>
      <c r="R20" s="697"/>
      <c r="S20" s="695">
        <f t="shared" si="5"/>
        <v>208.85209519503167</v>
      </c>
      <c r="T20" s="698">
        <f t="shared" si="5"/>
        <v>100</v>
      </c>
      <c r="U20" s="698"/>
      <c r="V20" s="698"/>
      <c r="W20" s="698"/>
      <c r="X20" s="698"/>
      <c r="Y20" s="698"/>
      <c r="Z20" s="698"/>
      <c r="AA20" s="692"/>
    </row>
    <row r="21" spans="1:27" s="123" customFormat="1" ht="20.25" customHeight="1">
      <c r="A21" s="227">
        <v>10</v>
      </c>
      <c r="B21" s="228" t="s">
        <v>278</v>
      </c>
      <c r="C21" s="693">
        <f t="shared" si="1"/>
        <v>4367.8</v>
      </c>
      <c r="D21" s="694">
        <f>'[2]bieu 60'!E19</f>
        <v>4367.8</v>
      </c>
      <c r="E21" s="694">
        <f t="shared" si="2"/>
        <v>0</v>
      </c>
      <c r="F21" s="693"/>
      <c r="G21" s="694"/>
      <c r="H21" s="695"/>
      <c r="I21" s="695"/>
      <c r="J21" s="695"/>
      <c r="K21" s="696">
        <f t="shared" si="3"/>
        <v>7900.028</v>
      </c>
      <c r="L21" s="694">
        <f>'[2]bieu 60'!E19</f>
        <v>4367.8</v>
      </c>
      <c r="M21" s="695">
        <f t="shared" si="4"/>
        <v>3532.228</v>
      </c>
      <c r="N21" s="695"/>
      <c r="O21" s="694">
        <f>'[2]bieu 60'!I19</f>
        <v>3532.228</v>
      </c>
      <c r="P21" s="695"/>
      <c r="Q21" s="695"/>
      <c r="R21" s="697"/>
      <c r="S21" s="695">
        <f t="shared" si="5"/>
        <v>180.86972846742066</v>
      </c>
      <c r="T21" s="698">
        <f t="shared" si="5"/>
        <v>100</v>
      </c>
      <c r="U21" s="698"/>
      <c r="V21" s="698"/>
      <c r="W21" s="698"/>
      <c r="X21" s="698"/>
      <c r="Y21" s="698"/>
      <c r="Z21" s="698"/>
      <c r="AA21" s="692"/>
    </row>
    <row r="22" spans="1:27" s="123" customFormat="1" ht="20.25" customHeight="1">
      <c r="A22" s="227">
        <v>11</v>
      </c>
      <c r="B22" s="228" t="s">
        <v>279</v>
      </c>
      <c r="C22" s="693">
        <f t="shared" si="1"/>
        <v>3851.63</v>
      </c>
      <c r="D22" s="694">
        <f>'[2]bieu 60'!E20</f>
        <v>3851.63</v>
      </c>
      <c r="E22" s="694">
        <f t="shared" si="2"/>
        <v>0</v>
      </c>
      <c r="F22" s="693"/>
      <c r="G22" s="694"/>
      <c r="H22" s="695"/>
      <c r="I22" s="695"/>
      <c r="J22" s="695"/>
      <c r="K22" s="696">
        <f t="shared" si="3"/>
        <v>5168.1</v>
      </c>
      <c r="L22" s="694">
        <f>'[2]bieu 60'!E20</f>
        <v>3851.63</v>
      </c>
      <c r="M22" s="695">
        <f t="shared" si="4"/>
        <v>1316.47</v>
      </c>
      <c r="N22" s="695"/>
      <c r="O22" s="694">
        <f>'[2]bieu 60'!I20</f>
        <v>1316.47</v>
      </c>
      <c r="P22" s="695"/>
      <c r="Q22" s="695"/>
      <c r="R22" s="697"/>
      <c r="S22" s="695">
        <f t="shared" si="5"/>
        <v>134.1795551493783</v>
      </c>
      <c r="T22" s="698">
        <f t="shared" si="5"/>
        <v>100</v>
      </c>
      <c r="U22" s="698"/>
      <c r="V22" s="698"/>
      <c r="W22" s="698"/>
      <c r="X22" s="698"/>
      <c r="Y22" s="698"/>
      <c r="Z22" s="698"/>
      <c r="AA22" s="692"/>
    </row>
    <row r="23" spans="1:27" s="123" customFormat="1" ht="20.25" customHeight="1">
      <c r="A23" s="227">
        <v>12</v>
      </c>
      <c r="B23" s="228" t="s">
        <v>280</v>
      </c>
      <c r="C23" s="693">
        <f t="shared" si="1"/>
        <v>4391.22</v>
      </c>
      <c r="D23" s="694">
        <f>'[2]bieu 60'!E21</f>
        <v>4391.22</v>
      </c>
      <c r="E23" s="694">
        <f t="shared" si="2"/>
        <v>0</v>
      </c>
      <c r="F23" s="693"/>
      <c r="G23" s="694"/>
      <c r="H23" s="695"/>
      <c r="I23" s="695"/>
      <c r="J23" s="695"/>
      <c r="K23" s="696">
        <f t="shared" si="3"/>
        <v>9390.271</v>
      </c>
      <c r="L23" s="694">
        <f>'[2]bieu 60'!E21</f>
        <v>4391.22</v>
      </c>
      <c r="M23" s="695">
        <f t="shared" si="4"/>
        <v>4999.051</v>
      </c>
      <c r="N23" s="695"/>
      <c r="O23" s="694">
        <f>'[2]bieu 60'!I21</f>
        <v>4999.051</v>
      </c>
      <c r="P23" s="695"/>
      <c r="Q23" s="695"/>
      <c r="R23" s="697"/>
      <c r="S23" s="695">
        <f t="shared" si="5"/>
        <v>213.84196191491202</v>
      </c>
      <c r="T23" s="698">
        <f t="shared" si="5"/>
        <v>100</v>
      </c>
      <c r="U23" s="698"/>
      <c r="V23" s="698"/>
      <c r="W23" s="698"/>
      <c r="X23" s="698"/>
      <c r="Y23" s="698"/>
      <c r="Z23" s="698"/>
      <c r="AA23" s="692"/>
    </row>
    <row r="24" spans="1:27" s="123" customFormat="1" ht="20.25" customHeight="1">
      <c r="A24" s="227">
        <v>13</v>
      </c>
      <c r="B24" s="228" t="s">
        <v>281</v>
      </c>
      <c r="C24" s="693">
        <f t="shared" si="1"/>
        <v>5556.27</v>
      </c>
      <c r="D24" s="694">
        <f>'[2]bieu 60'!E22</f>
        <v>5556.27</v>
      </c>
      <c r="E24" s="694">
        <f t="shared" si="2"/>
        <v>0</v>
      </c>
      <c r="F24" s="693"/>
      <c r="G24" s="694"/>
      <c r="H24" s="695"/>
      <c r="I24" s="695"/>
      <c r="J24" s="695"/>
      <c r="K24" s="696">
        <f t="shared" si="3"/>
        <v>14325.01</v>
      </c>
      <c r="L24" s="694">
        <f>'[2]bieu 60'!E22</f>
        <v>5556.27</v>
      </c>
      <c r="M24" s="695">
        <f t="shared" si="4"/>
        <v>8768.74</v>
      </c>
      <c r="N24" s="695"/>
      <c r="O24" s="694">
        <f>'[2]bieu 60'!I22</f>
        <v>8768.74</v>
      </c>
      <c r="P24" s="695"/>
      <c r="Q24" s="695"/>
      <c r="R24" s="697"/>
      <c r="S24" s="695">
        <f t="shared" si="5"/>
        <v>257.8170247306196</v>
      </c>
      <c r="T24" s="698">
        <f t="shared" si="5"/>
        <v>100</v>
      </c>
      <c r="U24" s="698"/>
      <c r="V24" s="698"/>
      <c r="W24" s="698"/>
      <c r="X24" s="698"/>
      <c r="Y24" s="698"/>
      <c r="Z24" s="698"/>
      <c r="AA24" s="692"/>
    </row>
    <row r="25" spans="1:27" s="123" customFormat="1" ht="20.25" customHeight="1">
      <c r="A25" s="227">
        <v>14</v>
      </c>
      <c r="B25" s="228" t="s">
        <v>282</v>
      </c>
      <c r="C25" s="693">
        <f t="shared" si="1"/>
        <v>4333.3</v>
      </c>
      <c r="D25" s="694">
        <f>'[2]bieu 60'!E23</f>
        <v>4333.3</v>
      </c>
      <c r="E25" s="694">
        <f t="shared" si="2"/>
        <v>0</v>
      </c>
      <c r="F25" s="693"/>
      <c r="G25" s="694"/>
      <c r="H25" s="695"/>
      <c r="I25" s="695"/>
      <c r="J25" s="695"/>
      <c r="K25" s="696">
        <f t="shared" si="3"/>
        <v>5917.969</v>
      </c>
      <c r="L25" s="694">
        <f>'[2]bieu 60'!E23</f>
        <v>4333.3</v>
      </c>
      <c r="M25" s="695">
        <f t="shared" si="4"/>
        <v>1584.669</v>
      </c>
      <c r="N25" s="695"/>
      <c r="O25" s="694">
        <f>'[2]bieu 60'!I23</f>
        <v>1584.669</v>
      </c>
      <c r="P25" s="695"/>
      <c r="Q25" s="695"/>
      <c r="R25" s="697"/>
      <c r="S25" s="695">
        <f t="shared" si="5"/>
        <v>136.56956591973784</v>
      </c>
      <c r="T25" s="698">
        <f t="shared" si="5"/>
        <v>100</v>
      </c>
      <c r="U25" s="698"/>
      <c r="V25" s="698"/>
      <c r="W25" s="698"/>
      <c r="X25" s="698"/>
      <c r="Y25" s="698"/>
      <c r="Z25" s="698"/>
      <c r="AA25" s="692"/>
    </row>
    <row r="26" spans="1:27" s="123" customFormat="1" ht="20.25" customHeight="1">
      <c r="A26" s="227">
        <v>15</v>
      </c>
      <c r="B26" s="228" t="s">
        <v>283</v>
      </c>
      <c r="C26" s="693">
        <f t="shared" si="1"/>
        <v>4262.26</v>
      </c>
      <c r="D26" s="694">
        <f>'[2]bieu 60'!E24</f>
        <v>4262.26</v>
      </c>
      <c r="E26" s="694">
        <f t="shared" si="2"/>
        <v>0</v>
      </c>
      <c r="F26" s="693"/>
      <c r="G26" s="694"/>
      <c r="H26" s="695"/>
      <c r="I26" s="695"/>
      <c r="J26" s="695"/>
      <c r="K26" s="696">
        <f t="shared" si="3"/>
        <v>6066.042</v>
      </c>
      <c r="L26" s="694">
        <f>'[2]bieu 60'!E24</f>
        <v>4262.26</v>
      </c>
      <c r="M26" s="695">
        <f t="shared" si="4"/>
        <v>1803.782</v>
      </c>
      <c r="N26" s="695"/>
      <c r="O26" s="694">
        <f>'[2]bieu 60'!I24</f>
        <v>1803.782</v>
      </c>
      <c r="P26" s="695"/>
      <c r="Q26" s="695"/>
      <c r="R26" s="697"/>
      <c r="S26" s="695">
        <f t="shared" si="5"/>
        <v>142.31984909414254</v>
      </c>
      <c r="T26" s="698">
        <f t="shared" si="5"/>
        <v>100</v>
      </c>
      <c r="U26" s="698"/>
      <c r="V26" s="698"/>
      <c r="W26" s="698"/>
      <c r="X26" s="698"/>
      <c r="Y26" s="698"/>
      <c r="Z26" s="698"/>
      <c r="AA26" s="692"/>
    </row>
    <row r="27" spans="1:27" s="123" customFormat="1" ht="20.25" customHeight="1">
      <c r="A27" s="227">
        <v>16</v>
      </c>
      <c r="B27" s="228" t="s">
        <v>284</v>
      </c>
      <c r="C27" s="693">
        <f t="shared" si="1"/>
        <v>4527.16</v>
      </c>
      <c r="D27" s="694">
        <f>'[2]bieu 60'!E25</f>
        <v>4527.16</v>
      </c>
      <c r="E27" s="694">
        <f t="shared" si="2"/>
        <v>0</v>
      </c>
      <c r="F27" s="693"/>
      <c r="G27" s="694"/>
      <c r="H27" s="695"/>
      <c r="I27" s="695"/>
      <c r="J27" s="695"/>
      <c r="K27" s="696">
        <f t="shared" si="3"/>
        <v>8252.69</v>
      </c>
      <c r="L27" s="694">
        <f>'[2]bieu 60'!E25</f>
        <v>4527.16</v>
      </c>
      <c r="M27" s="695">
        <f t="shared" si="4"/>
        <v>3725.53</v>
      </c>
      <c r="N27" s="695"/>
      <c r="O27" s="694">
        <f>'[2]bieu 60'!I25</f>
        <v>3725.53</v>
      </c>
      <c r="P27" s="695"/>
      <c r="Q27" s="695"/>
      <c r="R27" s="697"/>
      <c r="S27" s="695">
        <f t="shared" si="5"/>
        <v>182.29287235264496</v>
      </c>
      <c r="T27" s="698">
        <f t="shared" si="5"/>
        <v>100</v>
      </c>
      <c r="U27" s="698"/>
      <c r="V27" s="698"/>
      <c r="W27" s="698"/>
      <c r="X27" s="698"/>
      <c r="Y27" s="698"/>
      <c r="Z27" s="698"/>
      <c r="AA27" s="692"/>
    </row>
    <row r="28" spans="1:27" s="123" customFormat="1" ht="20.25" customHeight="1">
      <c r="A28" s="227">
        <v>17</v>
      </c>
      <c r="B28" s="228" t="s">
        <v>285</v>
      </c>
      <c r="C28" s="693">
        <f t="shared" si="1"/>
        <v>5107.23</v>
      </c>
      <c r="D28" s="694">
        <f>'[2]bieu 60'!E26</f>
        <v>5107.23</v>
      </c>
      <c r="E28" s="694">
        <f t="shared" si="2"/>
        <v>0</v>
      </c>
      <c r="F28" s="693"/>
      <c r="G28" s="694"/>
      <c r="H28" s="695"/>
      <c r="I28" s="695"/>
      <c r="J28" s="695"/>
      <c r="K28" s="696">
        <f t="shared" si="3"/>
        <v>11877.509999999998</v>
      </c>
      <c r="L28" s="694">
        <f>'[2]bieu 60'!E26</f>
        <v>5107.23</v>
      </c>
      <c r="M28" s="695">
        <f t="shared" si="4"/>
        <v>6770.28</v>
      </c>
      <c r="N28" s="695"/>
      <c r="O28" s="694">
        <f>'[2]bieu 60'!I26</f>
        <v>6770.28</v>
      </c>
      <c r="P28" s="695"/>
      <c r="Q28" s="695"/>
      <c r="R28" s="697"/>
      <c r="S28" s="695">
        <f t="shared" si="5"/>
        <v>232.56266116857867</v>
      </c>
      <c r="T28" s="698">
        <f t="shared" si="5"/>
        <v>100</v>
      </c>
      <c r="U28" s="698"/>
      <c r="V28" s="698"/>
      <c r="W28" s="698"/>
      <c r="X28" s="698"/>
      <c r="Y28" s="698"/>
      <c r="Z28" s="698"/>
      <c r="AA28" s="692"/>
    </row>
    <row r="29" spans="1:27" s="123" customFormat="1" ht="18" customHeight="1">
      <c r="A29" s="227">
        <v>18</v>
      </c>
      <c r="B29" s="228" t="s">
        <v>286</v>
      </c>
      <c r="C29" s="693">
        <f t="shared" si="1"/>
        <v>4156.07</v>
      </c>
      <c r="D29" s="694">
        <f>'[2]bieu 60'!E27</f>
        <v>4156.07</v>
      </c>
      <c r="E29" s="694">
        <f t="shared" si="2"/>
        <v>0</v>
      </c>
      <c r="F29" s="693"/>
      <c r="G29" s="694"/>
      <c r="H29" s="695"/>
      <c r="I29" s="695"/>
      <c r="J29" s="695"/>
      <c r="K29" s="696">
        <f t="shared" si="3"/>
        <v>4954.94</v>
      </c>
      <c r="L29" s="694">
        <f>'[2]bieu 60'!E27</f>
        <v>4156.07</v>
      </c>
      <c r="M29" s="695">
        <f t="shared" si="4"/>
        <v>798.87</v>
      </c>
      <c r="N29" s="695"/>
      <c r="O29" s="694">
        <f>'[2]bieu 60'!I27</f>
        <v>798.87</v>
      </c>
      <c r="P29" s="695"/>
      <c r="Q29" s="695"/>
      <c r="R29" s="697"/>
      <c r="S29" s="695">
        <f t="shared" si="5"/>
        <v>119.22176479221957</v>
      </c>
      <c r="T29" s="698">
        <f t="shared" si="5"/>
        <v>100</v>
      </c>
      <c r="U29" s="698"/>
      <c r="V29" s="698"/>
      <c r="W29" s="698"/>
      <c r="X29" s="698"/>
      <c r="Y29" s="698"/>
      <c r="Z29" s="698"/>
      <c r="AA29" s="692"/>
    </row>
    <row r="30" spans="1:26" ht="12.75">
      <c r="A30" s="229"/>
      <c r="B30" s="230"/>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row>
    <row r="31" spans="1:26" ht="13.5">
      <c r="A31" s="114" t="s">
        <v>18</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row>
    <row r="32" spans="1:26" ht="12.75">
      <c r="A32" s="11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sheetData>
  <sheetProtection/>
  <mergeCells count="33">
    <mergeCell ref="C6:J6"/>
    <mergeCell ref="C7:C9"/>
    <mergeCell ref="E7:J7"/>
    <mergeCell ref="M7:R7"/>
    <mergeCell ref="M8:M9"/>
    <mergeCell ref="U8:U9"/>
    <mergeCell ref="H8:H9"/>
    <mergeCell ref="A3:Z3"/>
    <mergeCell ref="A4:Z4"/>
    <mergeCell ref="R8:R9"/>
    <mergeCell ref="D7:D9"/>
    <mergeCell ref="T7:T9"/>
    <mergeCell ref="S6:Z6"/>
    <mergeCell ref="N8:O8"/>
    <mergeCell ref="I8:I9"/>
    <mergeCell ref="L7:L9"/>
    <mergeCell ref="X8:X9"/>
    <mergeCell ref="Z8:Z9"/>
    <mergeCell ref="S7:S9"/>
    <mergeCell ref="Q8:Q9"/>
    <mergeCell ref="V8:W8"/>
    <mergeCell ref="Y8:Y9"/>
    <mergeCell ref="U7:Z7"/>
    <mergeCell ref="S2:Z2"/>
    <mergeCell ref="S1:Z1"/>
    <mergeCell ref="K6:R6"/>
    <mergeCell ref="A6:A9"/>
    <mergeCell ref="B6:B9"/>
    <mergeCell ref="K7:K9"/>
    <mergeCell ref="F8:G8"/>
    <mergeCell ref="P8:P9"/>
    <mergeCell ref="J8:J9"/>
    <mergeCell ref="E8:E9"/>
  </mergeCells>
  <printOptions horizontalCentered="1"/>
  <pageMargins left="0" right="0" top="0.984251968503937" bottom="0.3937007874015748" header="0" footer="0"/>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K28"/>
  <sheetViews>
    <sheetView zoomScalePageLayoutView="0" workbookViewId="0" topLeftCell="A1">
      <selection activeCell="A4" sqref="A4:H4"/>
    </sheetView>
  </sheetViews>
  <sheetFormatPr defaultColWidth="9.140625" defaultRowHeight="12.75"/>
  <cols>
    <col min="1" max="1" width="7.00390625" style="124" customWidth="1"/>
    <col min="2" max="2" width="17.421875" style="124" customWidth="1"/>
    <col min="3" max="3" width="18.00390625" style="124" customWidth="1"/>
    <col min="4" max="4" width="17.421875" style="124" customWidth="1"/>
    <col min="5" max="5" width="17.140625" style="124" customWidth="1"/>
    <col min="6" max="6" width="12.28125" style="124" customWidth="1"/>
    <col min="7" max="7" width="16.28125" style="124" customWidth="1"/>
    <col min="8" max="8" width="15.57421875" style="124" customWidth="1"/>
    <col min="9" max="9" width="14.421875" style="126" customWidth="1"/>
    <col min="10" max="10" width="13.421875" style="124" customWidth="1"/>
    <col min="11" max="11" width="14.140625" style="124" customWidth="1"/>
    <col min="12" max="16384" width="9.140625" style="124" customWidth="1"/>
  </cols>
  <sheetData>
    <row r="1" ht="15">
      <c r="H1" s="125" t="s">
        <v>201</v>
      </c>
    </row>
    <row r="2" spans="7:9" ht="15">
      <c r="G2" s="866" t="s">
        <v>625</v>
      </c>
      <c r="H2" s="866"/>
      <c r="I2" s="866"/>
    </row>
    <row r="3" spans="1:8" ht="15">
      <c r="A3" s="867" t="s">
        <v>792</v>
      </c>
      <c r="B3" s="867"/>
      <c r="C3" s="867"/>
      <c r="D3" s="867"/>
      <c r="E3" s="867"/>
      <c r="F3" s="867"/>
      <c r="G3" s="867"/>
      <c r="H3" s="867"/>
    </row>
    <row r="4" spans="1:8" ht="15">
      <c r="A4" s="868" t="str">
        <f>'bieu 48 '!A4:F4</f>
        <v>(Kèm theo Báo cáo số 627/BC-UBND ngày 10 tháng 7 năm 2024 của UBND huyện Bắc Sơn)</v>
      </c>
      <c r="B4" s="868"/>
      <c r="C4" s="868"/>
      <c r="D4" s="868"/>
      <c r="E4" s="868"/>
      <c r="F4" s="868"/>
      <c r="G4" s="868"/>
      <c r="H4" s="868"/>
    </row>
    <row r="5" ht="15">
      <c r="H5" s="127" t="s">
        <v>22</v>
      </c>
    </row>
    <row r="6" spans="1:9" s="2" customFormat="1" ht="15">
      <c r="A6" s="869" t="s">
        <v>23</v>
      </c>
      <c r="B6" s="869" t="s">
        <v>153</v>
      </c>
      <c r="C6" s="869" t="s">
        <v>202</v>
      </c>
      <c r="D6" s="870" t="s">
        <v>163</v>
      </c>
      <c r="E6" s="871"/>
      <c r="F6" s="871"/>
      <c r="G6" s="871"/>
      <c r="H6" s="871"/>
      <c r="I6" s="872"/>
    </row>
    <row r="7" spans="1:9" s="2" customFormat="1" ht="60.75" customHeight="1">
      <c r="A7" s="869"/>
      <c r="B7" s="869"/>
      <c r="C7" s="869"/>
      <c r="D7" s="67" t="s">
        <v>203</v>
      </c>
      <c r="E7" s="67" t="s">
        <v>204</v>
      </c>
      <c r="F7" s="134" t="s">
        <v>19</v>
      </c>
      <c r="G7" s="67" t="s">
        <v>49</v>
      </c>
      <c r="H7" s="67" t="s">
        <v>205</v>
      </c>
      <c r="I7" s="134" t="s">
        <v>290</v>
      </c>
    </row>
    <row r="8" spans="1:9" s="226" customFormat="1" ht="10.5">
      <c r="A8" s="233" t="s">
        <v>30</v>
      </c>
      <c r="B8" s="233" t="s">
        <v>31</v>
      </c>
      <c r="C8" s="233">
        <v>1</v>
      </c>
      <c r="D8" s="233">
        <v>2</v>
      </c>
      <c r="E8" s="233">
        <v>3</v>
      </c>
      <c r="F8" s="234">
        <v>4</v>
      </c>
      <c r="G8" s="225">
        <v>5</v>
      </c>
      <c r="H8" s="233">
        <v>6</v>
      </c>
      <c r="I8" s="235">
        <v>7</v>
      </c>
    </row>
    <row r="9" spans="1:10" s="703" customFormat="1" ht="15">
      <c r="A9" s="699"/>
      <c r="B9" s="700" t="s">
        <v>158</v>
      </c>
      <c r="C9" s="701">
        <f>SUM(C10:C27)</f>
        <v>166586.281011</v>
      </c>
      <c r="D9" s="701">
        <f aca="true" t="shared" si="0" ref="D9:I9">SUM(D10:D27)</f>
        <v>5582.879573999999</v>
      </c>
      <c r="E9" s="701">
        <f t="shared" si="0"/>
        <v>82298.37</v>
      </c>
      <c r="F9" s="701">
        <f t="shared" si="0"/>
        <v>0</v>
      </c>
      <c r="G9" s="701">
        <f t="shared" si="0"/>
        <v>24755.833897</v>
      </c>
      <c r="H9" s="701">
        <f t="shared" si="0"/>
        <v>308.18354</v>
      </c>
      <c r="I9" s="701">
        <f t="shared" si="0"/>
        <v>53641.014</v>
      </c>
      <c r="J9" s="702"/>
    </row>
    <row r="10" spans="1:11" s="8" customFormat="1" ht="17.25" customHeight="1">
      <c r="A10" s="704">
        <v>1</v>
      </c>
      <c r="B10" s="705" t="s">
        <v>270</v>
      </c>
      <c r="C10" s="706">
        <f>SUM(D10:I10)</f>
        <v>6962.6294259999995</v>
      </c>
      <c r="D10" s="706">
        <v>2729.555638</v>
      </c>
      <c r="E10" s="707">
        <v>3080.23</v>
      </c>
      <c r="F10" s="708"/>
      <c r="G10" s="706">
        <v>853.58</v>
      </c>
      <c r="H10" s="706">
        <v>2.916788</v>
      </c>
      <c r="I10" s="709">
        <v>296.347</v>
      </c>
      <c r="J10" s="710"/>
      <c r="K10" s="711"/>
    </row>
    <row r="11" spans="1:11" s="8" customFormat="1" ht="17.25" customHeight="1">
      <c r="A11" s="704">
        <v>2</v>
      </c>
      <c r="B11" s="705" t="s">
        <v>249</v>
      </c>
      <c r="C11" s="706">
        <f aca="true" t="shared" si="1" ref="C11:C27">SUM(D11:I11)</f>
        <v>8512.983626000001</v>
      </c>
      <c r="D11" s="706">
        <v>264.364843</v>
      </c>
      <c r="E11" s="707">
        <v>5349.83</v>
      </c>
      <c r="F11" s="708"/>
      <c r="G11" s="706">
        <v>1000.837</v>
      </c>
      <c r="H11" s="706">
        <v>18.255783</v>
      </c>
      <c r="I11" s="709">
        <v>1879.696</v>
      </c>
      <c r="J11" s="710"/>
      <c r="K11" s="711"/>
    </row>
    <row r="12" spans="1:11" s="8" customFormat="1" ht="17.25" customHeight="1">
      <c r="A12" s="704">
        <v>3</v>
      </c>
      <c r="B12" s="705" t="s">
        <v>9</v>
      </c>
      <c r="C12" s="706">
        <f t="shared" si="1"/>
        <v>8061.084917</v>
      </c>
      <c r="D12" s="706">
        <v>204.419767</v>
      </c>
      <c r="E12" s="707">
        <v>5190.75</v>
      </c>
      <c r="F12" s="708"/>
      <c r="G12" s="706">
        <v>1190.113197</v>
      </c>
      <c r="H12" s="706">
        <v>35.617953</v>
      </c>
      <c r="I12" s="709">
        <v>1440.184</v>
      </c>
      <c r="J12" s="710"/>
      <c r="K12" s="711"/>
    </row>
    <row r="13" spans="1:11" s="8" customFormat="1" ht="17.25" customHeight="1">
      <c r="A13" s="704">
        <v>4</v>
      </c>
      <c r="B13" s="705" t="s">
        <v>235</v>
      </c>
      <c r="C13" s="706">
        <f t="shared" si="1"/>
        <v>5864.657103</v>
      </c>
      <c r="D13" s="706">
        <v>181.807945</v>
      </c>
      <c r="E13" s="707">
        <v>5112.44</v>
      </c>
      <c r="F13" s="708"/>
      <c r="G13" s="706">
        <v>206.1612</v>
      </c>
      <c r="H13" s="706">
        <v>5.269958</v>
      </c>
      <c r="I13" s="709">
        <v>358.978</v>
      </c>
      <c r="J13" s="710"/>
      <c r="K13" s="711"/>
    </row>
    <row r="14" spans="1:11" s="8" customFormat="1" ht="17.25" customHeight="1">
      <c r="A14" s="704">
        <v>5</v>
      </c>
      <c r="B14" s="705" t="s">
        <v>236</v>
      </c>
      <c r="C14" s="706">
        <f t="shared" si="1"/>
        <v>18985.753757</v>
      </c>
      <c r="D14" s="706">
        <v>136.960031</v>
      </c>
      <c r="E14" s="707">
        <v>6434.29</v>
      </c>
      <c r="F14" s="708"/>
      <c r="G14" s="706">
        <v>4164.346</v>
      </c>
      <c r="H14" s="706">
        <v>0.024726</v>
      </c>
      <c r="I14" s="709">
        <v>8250.133</v>
      </c>
      <c r="J14" s="710"/>
      <c r="K14" s="711"/>
    </row>
    <row r="15" spans="1:11" s="8" customFormat="1" ht="17.25" customHeight="1">
      <c r="A15" s="704">
        <v>6</v>
      </c>
      <c r="B15" s="705" t="s">
        <v>237</v>
      </c>
      <c r="C15" s="706">
        <f t="shared" si="1"/>
        <v>7309.50102</v>
      </c>
      <c r="D15" s="706">
        <v>140.849551</v>
      </c>
      <c r="E15" s="707">
        <v>4633.08</v>
      </c>
      <c r="F15" s="708"/>
      <c r="G15" s="706">
        <v>1356.396</v>
      </c>
      <c r="H15" s="706">
        <v>3.457469</v>
      </c>
      <c r="I15" s="709">
        <v>1175.718</v>
      </c>
      <c r="J15" s="710"/>
      <c r="K15" s="711"/>
    </row>
    <row r="16" spans="1:11" s="8" customFormat="1" ht="17.25" customHeight="1">
      <c r="A16" s="704">
        <v>7</v>
      </c>
      <c r="B16" s="705" t="s">
        <v>238</v>
      </c>
      <c r="C16" s="706">
        <f>SUM(D16:I16)</f>
        <v>5843.170725000001</v>
      </c>
      <c r="D16" s="706">
        <v>58.779706</v>
      </c>
      <c r="E16" s="707">
        <v>3701.38</v>
      </c>
      <c r="F16" s="708"/>
      <c r="G16" s="706">
        <v>1149.8148</v>
      </c>
      <c r="H16" s="706">
        <v>4.343219</v>
      </c>
      <c r="I16" s="709">
        <v>928.853</v>
      </c>
      <c r="J16" s="710"/>
      <c r="K16" s="711"/>
    </row>
    <row r="17" spans="1:11" s="8" customFormat="1" ht="17.25" customHeight="1">
      <c r="A17" s="704">
        <v>8</v>
      </c>
      <c r="B17" s="705" t="s">
        <v>291</v>
      </c>
      <c r="C17" s="706">
        <f t="shared" si="1"/>
        <v>6058.298685</v>
      </c>
      <c r="D17" s="706">
        <v>82.788501</v>
      </c>
      <c r="E17" s="707">
        <v>3908.75</v>
      </c>
      <c r="F17" s="708"/>
      <c r="G17" s="706">
        <v>765.1109</v>
      </c>
      <c r="H17" s="706">
        <v>8.554284</v>
      </c>
      <c r="I17" s="709">
        <v>1293.095</v>
      </c>
      <c r="J17" s="710"/>
      <c r="K17" s="711"/>
    </row>
    <row r="18" spans="1:11" s="8" customFormat="1" ht="17.25" customHeight="1">
      <c r="A18" s="704">
        <v>9</v>
      </c>
      <c r="B18" s="705" t="s">
        <v>239</v>
      </c>
      <c r="C18" s="706">
        <f t="shared" si="1"/>
        <v>10231.344143000002</v>
      </c>
      <c r="D18" s="706">
        <v>205.027842</v>
      </c>
      <c r="E18" s="707">
        <v>4334.68</v>
      </c>
      <c r="F18" s="708"/>
      <c r="G18" s="706">
        <v>946.318</v>
      </c>
      <c r="H18" s="706">
        <v>26.928301</v>
      </c>
      <c r="I18" s="709">
        <v>4718.39</v>
      </c>
      <c r="J18" s="710"/>
      <c r="K18" s="711"/>
    </row>
    <row r="19" spans="1:11" s="8" customFormat="1" ht="17.25" customHeight="1">
      <c r="A19" s="704">
        <v>10</v>
      </c>
      <c r="B19" s="705" t="s">
        <v>240</v>
      </c>
      <c r="C19" s="706">
        <f>SUM(D19:I19)</f>
        <v>8432.615442</v>
      </c>
      <c r="D19" s="706">
        <v>221.661753</v>
      </c>
      <c r="E19" s="707">
        <v>4367.8</v>
      </c>
      <c r="F19" s="708"/>
      <c r="G19" s="706">
        <v>277.803</v>
      </c>
      <c r="H19" s="706">
        <v>33.122689</v>
      </c>
      <c r="I19" s="709">
        <v>3532.228</v>
      </c>
      <c r="J19" s="710"/>
      <c r="K19" s="711"/>
    </row>
    <row r="20" spans="1:11" s="8" customFormat="1" ht="17.25" customHeight="1">
      <c r="A20" s="704">
        <v>11</v>
      </c>
      <c r="B20" s="705" t="s">
        <v>241</v>
      </c>
      <c r="C20" s="706">
        <f t="shared" si="1"/>
        <v>5548.347414</v>
      </c>
      <c r="D20" s="706">
        <v>134.855602</v>
      </c>
      <c r="E20" s="707">
        <v>3851.63</v>
      </c>
      <c r="F20" s="708"/>
      <c r="G20" s="706">
        <v>240.1866</v>
      </c>
      <c r="H20" s="706">
        <v>5.205212</v>
      </c>
      <c r="I20" s="709">
        <v>1316.47</v>
      </c>
      <c r="J20" s="710"/>
      <c r="K20" s="711"/>
    </row>
    <row r="21" spans="1:11" s="8" customFormat="1" ht="17.25" customHeight="1">
      <c r="A21" s="704">
        <v>12</v>
      </c>
      <c r="B21" s="705" t="s">
        <v>242</v>
      </c>
      <c r="C21" s="706">
        <f t="shared" si="1"/>
        <v>11225.825554</v>
      </c>
      <c r="D21" s="706">
        <v>85.800778</v>
      </c>
      <c r="E21" s="707">
        <v>4391.22</v>
      </c>
      <c r="F21" s="708"/>
      <c r="G21" s="706">
        <v>1742.369</v>
      </c>
      <c r="H21" s="706">
        <v>7.384776</v>
      </c>
      <c r="I21" s="709">
        <v>4999.051</v>
      </c>
      <c r="J21" s="710"/>
      <c r="K21" s="711"/>
    </row>
    <row r="22" spans="1:11" s="8" customFormat="1" ht="17.25" customHeight="1">
      <c r="A22" s="704">
        <v>13</v>
      </c>
      <c r="B22" s="705" t="s">
        <v>243</v>
      </c>
      <c r="C22" s="706">
        <f t="shared" si="1"/>
        <v>17528.317493000002</v>
      </c>
      <c r="D22" s="706">
        <v>129.731233</v>
      </c>
      <c r="E22" s="707">
        <v>5556.27</v>
      </c>
      <c r="F22" s="708"/>
      <c r="G22" s="706">
        <v>3025.664</v>
      </c>
      <c r="H22" s="706">
        <v>47.91226</v>
      </c>
      <c r="I22" s="709">
        <v>8768.74</v>
      </c>
      <c r="J22" s="710"/>
      <c r="K22" s="711"/>
    </row>
    <row r="23" spans="1:11" s="8" customFormat="1" ht="17.25" customHeight="1">
      <c r="A23" s="704">
        <v>14</v>
      </c>
      <c r="B23" s="705" t="s">
        <v>244</v>
      </c>
      <c r="C23" s="706">
        <f t="shared" si="1"/>
        <v>7309.132624000001</v>
      </c>
      <c r="D23" s="706">
        <v>273.746934</v>
      </c>
      <c r="E23" s="707">
        <v>4333.3</v>
      </c>
      <c r="F23" s="708"/>
      <c r="G23" s="706">
        <v>1112.2988</v>
      </c>
      <c r="H23" s="706">
        <v>5.11789</v>
      </c>
      <c r="I23" s="709">
        <v>1584.669</v>
      </c>
      <c r="J23" s="710"/>
      <c r="K23" s="711"/>
    </row>
    <row r="24" spans="1:11" s="8" customFormat="1" ht="17.25" customHeight="1">
      <c r="A24" s="704">
        <v>15</v>
      </c>
      <c r="B24" s="705" t="s">
        <v>245</v>
      </c>
      <c r="C24" s="706">
        <f t="shared" si="1"/>
        <v>7395.257829000001</v>
      </c>
      <c r="D24" s="706">
        <v>325.699614</v>
      </c>
      <c r="E24" s="707">
        <v>4262.26</v>
      </c>
      <c r="F24" s="708"/>
      <c r="G24" s="706">
        <v>969.7186</v>
      </c>
      <c r="H24" s="706">
        <v>33.797615</v>
      </c>
      <c r="I24" s="709">
        <v>1803.782</v>
      </c>
      <c r="J24" s="710"/>
      <c r="K24" s="711"/>
    </row>
    <row r="25" spans="1:11" s="8" customFormat="1" ht="17.25" customHeight="1">
      <c r="A25" s="704">
        <v>16</v>
      </c>
      <c r="B25" s="705" t="s">
        <v>246</v>
      </c>
      <c r="C25" s="706">
        <f t="shared" si="1"/>
        <v>10851.525543</v>
      </c>
      <c r="D25" s="706">
        <v>103.051029</v>
      </c>
      <c r="E25" s="707">
        <v>4527.16</v>
      </c>
      <c r="F25" s="708"/>
      <c r="G25" s="706">
        <v>2480.4774</v>
      </c>
      <c r="H25" s="706">
        <v>15.307114</v>
      </c>
      <c r="I25" s="709">
        <v>3725.53</v>
      </c>
      <c r="J25" s="710"/>
      <c r="K25" s="711"/>
    </row>
    <row r="26" spans="1:11" s="8" customFormat="1" ht="17.25" customHeight="1">
      <c r="A26" s="704">
        <v>17</v>
      </c>
      <c r="B26" s="705" t="s">
        <v>247</v>
      </c>
      <c r="C26" s="706">
        <f>SUM(D26:I26)</f>
        <v>14845.830754999999</v>
      </c>
      <c r="D26" s="706">
        <v>205.253132</v>
      </c>
      <c r="E26" s="707">
        <v>5107.23</v>
      </c>
      <c r="F26" s="708"/>
      <c r="G26" s="706">
        <v>2757.2386</v>
      </c>
      <c r="H26" s="706">
        <v>5.829023</v>
      </c>
      <c r="I26" s="709">
        <v>6770.28</v>
      </c>
      <c r="J26" s="710"/>
      <c r="K26" s="711"/>
    </row>
    <row r="27" spans="1:11" s="8" customFormat="1" ht="17.25" customHeight="1">
      <c r="A27" s="712">
        <v>18</v>
      </c>
      <c r="B27" s="713" t="s">
        <v>248</v>
      </c>
      <c r="C27" s="714">
        <f t="shared" si="1"/>
        <v>5620.004954999999</v>
      </c>
      <c r="D27" s="714">
        <v>98.525675</v>
      </c>
      <c r="E27" s="715">
        <v>4156.07</v>
      </c>
      <c r="F27" s="716"/>
      <c r="G27" s="714">
        <v>517.4008</v>
      </c>
      <c r="H27" s="714">
        <v>49.13848</v>
      </c>
      <c r="I27" s="717">
        <v>798.87</v>
      </c>
      <c r="J27" s="710"/>
      <c r="K27" s="711"/>
    </row>
    <row r="28" ht="15">
      <c r="A28" s="128"/>
    </row>
  </sheetData>
  <sheetProtection/>
  <mergeCells count="7">
    <mergeCell ref="G2:I2"/>
    <mergeCell ref="A3:H3"/>
    <mergeCell ref="A4:H4"/>
    <mergeCell ref="A6:A7"/>
    <mergeCell ref="B6:B7"/>
    <mergeCell ref="C6:C7"/>
    <mergeCell ref="D6:I6"/>
  </mergeCells>
  <printOptions horizontalCentered="1"/>
  <pageMargins left="0.1968503937007874" right="0" top="0.984251968503937" bottom="0.3937007874015748" header="0.11811023622047245" footer="0.1181102362204724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X244"/>
  <sheetViews>
    <sheetView zoomScale="80" zoomScaleNormal="80" zoomScalePageLayoutView="0" workbookViewId="0" topLeftCell="A1">
      <pane xSplit="2" ySplit="12" topLeftCell="C220" activePane="bottomRight" state="frozen"/>
      <selection pane="topLeft" activeCell="A1" sqref="A1"/>
      <selection pane="topRight" activeCell="C1" sqref="C1"/>
      <selection pane="bottomLeft" activeCell="A13" sqref="A13"/>
      <selection pane="bottomRight" activeCell="A4" sqref="A4:V4"/>
    </sheetView>
  </sheetViews>
  <sheetFormatPr defaultColWidth="8.8515625" defaultRowHeight="12.75"/>
  <cols>
    <col min="1" max="1" width="6.00390625" style="1" customWidth="1"/>
    <col min="2" max="2" width="42.57421875" style="120" customWidth="1"/>
    <col min="3" max="4" width="14.7109375" style="1" customWidth="1"/>
    <col min="5" max="5" width="15.140625" style="306" customWidth="1"/>
    <col min="6" max="7" width="14.140625" style="1" customWidth="1"/>
    <col min="8" max="8" width="13.00390625" style="1" customWidth="1"/>
    <col min="9" max="9" width="15.421875" style="1" customWidth="1"/>
    <col min="10" max="10" width="14.421875" style="1" customWidth="1"/>
    <col min="11" max="11" width="14.28125" style="1" customWidth="1"/>
    <col min="12" max="12" width="13.140625" style="1" customWidth="1"/>
    <col min="13" max="13" width="12.8515625" style="1" customWidth="1"/>
    <col min="14" max="14" width="6.140625" style="1" customWidth="1"/>
    <col min="15" max="15" width="5.7109375" style="1" customWidth="1"/>
    <col min="16" max="16" width="6.8515625" style="1" customWidth="1"/>
    <col min="17" max="17" width="5.7109375" style="1" customWidth="1"/>
    <col min="18" max="18" width="6.8515625" style="1" customWidth="1"/>
    <col min="19" max="19" width="10.140625" style="1" customWidth="1"/>
    <col min="20" max="20" width="9.00390625" style="1" customWidth="1"/>
    <col min="21" max="21" width="10.28125" style="1" customWidth="1"/>
    <col min="22" max="22" width="4.00390625" style="1" customWidth="1"/>
    <col min="23" max="23" width="18.7109375" style="311" customWidth="1"/>
    <col min="24" max="24" width="10.00390625" style="1" bestFit="1" customWidth="1"/>
    <col min="25" max="16384" width="8.8515625" style="1" customWidth="1"/>
  </cols>
  <sheetData>
    <row r="1" spans="3:23" s="120" customFormat="1" ht="18.75">
      <c r="C1" s="131"/>
      <c r="D1" s="311"/>
      <c r="E1" s="131"/>
      <c r="F1" s="131"/>
      <c r="O1" s="881" t="s">
        <v>206</v>
      </c>
      <c r="P1" s="881"/>
      <c r="Q1" s="881"/>
      <c r="R1" s="881"/>
      <c r="S1" s="881"/>
      <c r="T1" s="881"/>
      <c r="U1" s="881"/>
      <c r="W1" s="504"/>
    </row>
    <row r="2" spans="3:23" s="120" customFormat="1" ht="18.75">
      <c r="C2" s="131"/>
      <c r="D2" s="131"/>
      <c r="E2" s="131"/>
      <c r="F2" s="131"/>
      <c r="G2" s="131"/>
      <c r="M2" s="587"/>
      <c r="O2" s="882" t="s">
        <v>625</v>
      </c>
      <c r="P2" s="882"/>
      <c r="Q2" s="882"/>
      <c r="R2" s="882"/>
      <c r="S2" s="882"/>
      <c r="T2" s="882"/>
      <c r="U2" s="882"/>
      <c r="W2" s="504"/>
    </row>
    <row r="3" spans="1:23" s="120" customFormat="1" ht="18.75">
      <c r="A3" s="881" t="s">
        <v>732</v>
      </c>
      <c r="B3" s="881"/>
      <c r="C3" s="881"/>
      <c r="D3" s="881"/>
      <c r="E3" s="881"/>
      <c r="F3" s="881"/>
      <c r="G3" s="881"/>
      <c r="H3" s="881"/>
      <c r="I3" s="881"/>
      <c r="J3" s="881"/>
      <c r="K3" s="881"/>
      <c r="L3" s="881"/>
      <c r="M3" s="881"/>
      <c r="N3" s="881"/>
      <c r="O3" s="881"/>
      <c r="P3" s="881"/>
      <c r="Q3" s="881"/>
      <c r="R3" s="881"/>
      <c r="S3" s="881"/>
      <c r="T3" s="881"/>
      <c r="U3" s="881"/>
      <c r="V3" s="881"/>
      <c r="W3" s="504"/>
    </row>
    <row r="4" spans="1:23" s="2" customFormat="1" ht="18.75">
      <c r="A4" s="836" t="str">
        <f>'bieu 48 '!A4:F4</f>
        <v>(Kèm theo Báo cáo số 627/BC-UBND ngày 10 tháng 7 năm 2024 của UBND huyện Bắc Sơn)</v>
      </c>
      <c r="B4" s="836"/>
      <c r="C4" s="836"/>
      <c r="D4" s="836"/>
      <c r="E4" s="836"/>
      <c r="F4" s="836"/>
      <c r="G4" s="836"/>
      <c r="H4" s="836"/>
      <c r="I4" s="836"/>
      <c r="J4" s="836"/>
      <c r="K4" s="836"/>
      <c r="L4" s="836"/>
      <c r="M4" s="836"/>
      <c r="N4" s="836"/>
      <c r="O4" s="836"/>
      <c r="P4" s="836"/>
      <c r="Q4" s="836"/>
      <c r="R4" s="836"/>
      <c r="S4" s="836"/>
      <c r="T4" s="836"/>
      <c r="U4" s="836"/>
      <c r="V4" s="836"/>
      <c r="W4" s="590"/>
    </row>
    <row r="5" spans="1:23" s="69" customFormat="1" ht="18.75">
      <c r="A5" s="2"/>
      <c r="B5" s="120"/>
      <c r="C5" s="131"/>
      <c r="D5" s="131"/>
      <c r="E5" s="306"/>
      <c r="F5" s="306"/>
      <c r="G5" s="132"/>
      <c r="H5" s="2"/>
      <c r="I5" s="131"/>
      <c r="J5" s="131"/>
      <c r="K5" s="131"/>
      <c r="L5" s="131"/>
      <c r="M5" s="131"/>
      <c r="N5" s="131"/>
      <c r="O5" s="2"/>
      <c r="P5" s="2"/>
      <c r="Q5" s="2"/>
      <c r="R5" s="2"/>
      <c r="S5" s="2"/>
      <c r="T5" s="2"/>
      <c r="U5" s="2"/>
      <c r="V5" s="28" t="s">
        <v>22</v>
      </c>
      <c r="W5" s="311"/>
    </row>
    <row r="6" spans="1:23" s="69" customFormat="1" ht="12.75" customHeight="1">
      <c r="A6" s="873" t="s">
        <v>23</v>
      </c>
      <c r="B6" s="879" t="s">
        <v>24</v>
      </c>
      <c r="C6" s="873" t="s">
        <v>25</v>
      </c>
      <c r="D6" s="873"/>
      <c r="E6" s="873"/>
      <c r="F6" s="873" t="s">
        <v>26</v>
      </c>
      <c r="G6" s="873"/>
      <c r="H6" s="873"/>
      <c r="I6" s="873"/>
      <c r="J6" s="873"/>
      <c r="K6" s="873"/>
      <c r="L6" s="873"/>
      <c r="M6" s="873"/>
      <c r="N6" s="873"/>
      <c r="O6" s="873"/>
      <c r="P6" s="873"/>
      <c r="Q6" s="873"/>
      <c r="R6" s="873"/>
      <c r="S6" s="873" t="s">
        <v>76</v>
      </c>
      <c r="T6" s="873"/>
      <c r="U6" s="873"/>
      <c r="V6" s="873"/>
      <c r="W6" s="311"/>
    </row>
    <row r="7" spans="1:23" s="69" customFormat="1" ht="12.75">
      <c r="A7" s="873"/>
      <c r="B7" s="879"/>
      <c r="C7" s="873" t="s">
        <v>154</v>
      </c>
      <c r="D7" s="873" t="s">
        <v>163</v>
      </c>
      <c r="E7" s="873"/>
      <c r="F7" s="873" t="s">
        <v>154</v>
      </c>
      <c r="G7" s="873" t="s">
        <v>163</v>
      </c>
      <c r="H7" s="873"/>
      <c r="I7" s="873" t="s">
        <v>735</v>
      </c>
      <c r="J7" s="873"/>
      <c r="K7" s="873"/>
      <c r="L7" s="873"/>
      <c r="M7" s="873"/>
      <c r="N7" s="874" t="s">
        <v>267</v>
      </c>
      <c r="O7" s="876"/>
      <c r="P7" s="876"/>
      <c r="Q7" s="876"/>
      <c r="R7" s="875"/>
      <c r="S7" s="873" t="s">
        <v>154</v>
      </c>
      <c r="T7" s="873" t="s">
        <v>163</v>
      </c>
      <c r="U7" s="873"/>
      <c r="V7" s="873" t="s">
        <v>155</v>
      </c>
      <c r="W7" s="591"/>
    </row>
    <row r="8" spans="1:23" s="69" customFormat="1" ht="12" customHeight="1">
      <c r="A8" s="873"/>
      <c r="B8" s="879"/>
      <c r="C8" s="873"/>
      <c r="D8" s="873" t="s">
        <v>207</v>
      </c>
      <c r="E8" s="880" t="s">
        <v>208</v>
      </c>
      <c r="F8" s="873"/>
      <c r="G8" s="873" t="s">
        <v>207</v>
      </c>
      <c r="H8" s="873" t="s">
        <v>208</v>
      </c>
      <c r="I8" s="873" t="s">
        <v>154</v>
      </c>
      <c r="J8" s="873" t="s">
        <v>52</v>
      </c>
      <c r="K8" s="873"/>
      <c r="L8" s="873" t="s">
        <v>208</v>
      </c>
      <c r="M8" s="873"/>
      <c r="N8" s="873" t="s">
        <v>154</v>
      </c>
      <c r="O8" s="873" t="s">
        <v>52</v>
      </c>
      <c r="P8" s="873"/>
      <c r="Q8" s="874" t="s">
        <v>208</v>
      </c>
      <c r="R8" s="875"/>
      <c r="S8" s="873"/>
      <c r="T8" s="873" t="s">
        <v>52</v>
      </c>
      <c r="U8" s="873" t="s">
        <v>53</v>
      </c>
      <c r="V8" s="873"/>
      <c r="W8" s="591"/>
    </row>
    <row r="9" spans="1:23" s="69" customFormat="1" ht="25.5">
      <c r="A9" s="873"/>
      <c r="B9" s="879"/>
      <c r="C9" s="873"/>
      <c r="D9" s="873"/>
      <c r="E9" s="880"/>
      <c r="F9" s="873"/>
      <c r="G9" s="873"/>
      <c r="H9" s="873"/>
      <c r="I9" s="873"/>
      <c r="J9" s="873" t="s">
        <v>154</v>
      </c>
      <c r="K9" s="304" t="s">
        <v>209</v>
      </c>
      <c r="L9" s="873" t="s">
        <v>154</v>
      </c>
      <c r="M9" s="304" t="s">
        <v>209</v>
      </c>
      <c r="N9" s="873"/>
      <c r="O9" s="873" t="s">
        <v>154</v>
      </c>
      <c r="P9" s="304" t="s">
        <v>209</v>
      </c>
      <c r="Q9" s="877" t="s">
        <v>154</v>
      </c>
      <c r="R9" s="304" t="s">
        <v>209</v>
      </c>
      <c r="S9" s="873"/>
      <c r="T9" s="873"/>
      <c r="U9" s="873"/>
      <c r="V9" s="873"/>
      <c r="W9" s="591"/>
    </row>
    <row r="10" spans="1:23" s="133" customFormat="1" ht="38.25">
      <c r="A10" s="873"/>
      <c r="B10" s="879"/>
      <c r="C10" s="873"/>
      <c r="D10" s="873"/>
      <c r="E10" s="880"/>
      <c r="F10" s="873"/>
      <c r="G10" s="873"/>
      <c r="H10" s="873"/>
      <c r="I10" s="873"/>
      <c r="J10" s="873"/>
      <c r="K10" s="304" t="s">
        <v>191</v>
      </c>
      <c r="L10" s="873"/>
      <c r="M10" s="304" t="s">
        <v>191</v>
      </c>
      <c r="N10" s="873"/>
      <c r="O10" s="873"/>
      <c r="P10" s="304" t="s">
        <v>191</v>
      </c>
      <c r="Q10" s="878"/>
      <c r="R10" s="308" t="s">
        <v>191</v>
      </c>
      <c r="S10" s="873"/>
      <c r="T10" s="873"/>
      <c r="U10" s="873"/>
      <c r="V10" s="873"/>
      <c r="W10" s="592"/>
    </row>
    <row r="11" spans="1:23" s="236" customFormat="1" ht="22.5">
      <c r="A11" s="305" t="s">
        <v>30</v>
      </c>
      <c r="B11" s="309" t="s">
        <v>31</v>
      </c>
      <c r="C11" s="305">
        <v>1</v>
      </c>
      <c r="D11" s="305">
        <v>2</v>
      </c>
      <c r="E11" s="305">
        <v>3</v>
      </c>
      <c r="F11" s="305" t="s">
        <v>1</v>
      </c>
      <c r="G11" s="305" t="s">
        <v>2</v>
      </c>
      <c r="H11" s="305" t="s">
        <v>3</v>
      </c>
      <c r="I11" s="305" t="s">
        <v>4</v>
      </c>
      <c r="J11" s="305">
        <v>9</v>
      </c>
      <c r="K11" s="305">
        <v>10</v>
      </c>
      <c r="L11" s="305">
        <v>12</v>
      </c>
      <c r="M11" s="305">
        <v>13</v>
      </c>
      <c r="N11" s="305" t="s">
        <v>5</v>
      </c>
      <c r="O11" s="305">
        <v>15</v>
      </c>
      <c r="P11" s="305">
        <v>16</v>
      </c>
      <c r="Q11" s="305">
        <v>17</v>
      </c>
      <c r="R11" s="305">
        <v>18</v>
      </c>
      <c r="S11" s="305" t="s">
        <v>6</v>
      </c>
      <c r="T11" s="305" t="s">
        <v>7</v>
      </c>
      <c r="U11" s="305" t="s">
        <v>8</v>
      </c>
      <c r="V11" s="305">
        <v>20</v>
      </c>
      <c r="W11" s="593"/>
    </row>
    <row r="12" spans="1:24" s="236" customFormat="1" ht="18.75">
      <c r="A12" s="302"/>
      <c r="B12" s="522" t="s">
        <v>158</v>
      </c>
      <c r="C12" s="523">
        <f aca="true" t="shared" si="0" ref="C12:R12">C13+C101</f>
        <v>116168.00314999999</v>
      </c>
      <c r="D12" s="523">
        <f t="shared" si="0"/>
        <v>56551</v>
      </c>
      <c r="E12" s="523">
        <f t="shared" si="0"/>
        <v>59617.003150000004</v>
      </c>
      <c r="F12" s="523">
        <f t="shared" si="0"/>
        <v>147991.43821</v>
      </c>
      <c r="G12" s="523">
        <f t="shared" si="0"/>
        <v>112315.07800000001</v>
      </c>
      <c r="H12" s="523">
        <f t="shared" si="0"/>
        <v>35676.36021</v>
      </c>
      <c r="I12" s="523">
        <f t="shared" si="0"/>
        <v>147991.43821</v>
      </c>
      <c r="J12" s="523">
        <f t="shared" si="0"/>
        <v>112315.07800000001</v>
      </c>
      <c r="K12" s="523">
        <f t="shared" si="0"/>
        <v>112315.07800000001</v>
      </c>
      <c r="L12" s="523">
        <f t="shared" si="0"/>
        <v>35676.36021</v>
      </c>
      <c r="M12" s="523">
        <f t="shared" si="0"/>
        <v>35676.36021</v>
      </c>
      <c r="N12" s="523">
        <f t="shared" si="0"/>
        <v>0</v>
      </c>
      <c r="O12" s="523">
        <f t="shared" si="0"/>
        <v>0</v>
      </c>
      <c r="P12" s="523">
        <f t="shared" si="0"/>
        <v>0</v>
      </c>
      <c r="Q12" s="523">
        <f t="shared" si="0"/>
        <v>0</v>
      </c>
      <c r="R12" s="523">
        <f t="shared" si="0"/>
        <v>0</v>
      </c>
      <c r="S12" s="583">
        <f aca="true" t="shared" si="1" ref="S12:U14">F12/C12</f>
        <v>1.2739432046439545</v>
      </c>
      <c r="T12" s="583">
        <f t="shared" si="1"/>
        <v>1.9860847376704216</v>
      </c>
      <c r="U12" s="583">
        <f t="shared" si="1"/>
        <v>0.5984259242323219</v>
      </c>
      <c r="V12" s="523"/>
      <c r="W12" s="593"/>
      <c r="X12" s="600"/>
    </row>
    <row r="13" spans="1:23" s="236" customFormat="1" ht="18.75">
      <c r="A13" s="550" t="s">
        <v>30</v>
      </c>
      <c r="B13" s="551" t="s">
        <v>495</v>
      </c>
      <c r="C13" s="553">
        <f>C14+C47+C64</f>
        <v>70865.01999999999</v>
      </c>
      <c r="D13" s="553">
        <f aca="true" t="shared" si="2" ref="D13:R13">D14+D47+D64</f>
        <v>47227</v>
      </c>
      <c r="E13" s="553">
        <f t="shared" si="2"/>
        <v>23638.02</v>
      </c>
      <c r="F13" s="553">
        <f t="shared" si="2"/>
        <v>112845.52376</v>
      </c>
      <c r="G13" s="553">
        <f t="shared" si="2"/>
        <v>101975.96100000001</v>
      </c>
      <c r="H13" s="553">
        <f t="shared" si="2"/>
        <v>10869.562759999999</v>
      </c>
      <c r="I13" s="553">
        <f t="shared" si="2"/>
        <v>112845.52376</v>
      </c>
      <c r="J13" s="553">
        <f t="shared" si="2"/>
        <v>101975.96100000001</v>
      </c>
      <c r="K13" s="553">
        <f t="shared" si="2"/>
        <v>101975.96100000001</v>
      </c>
      <c r="L13" s="553">
        <f t="shared" si="2"/>
        <v>10869.562759999999</v>
      </c>
      <c r="M13" s="553">
        <f t="shared" si="2"/>
        <v>10869.562759999999</v>
      </c>
      <c r="N13" s="553">
        <f t="shared" si="2"/>
        <v>0</v>
      </c>
      <c r="O13" s="553">
        <f t="shared" si="2"/>
        <v>0</v>
      </c>
      <c r="P13" s="553">
        <f t="shared" si="2"/>
        <v>0</v>
      </c>
      <c r="Q13" s="553">
        <f t="shared" si="2"/>
        <v>0</v>
      </c>
      <c r="R13" s="553">
        <f t="shared" si="2"/>
        <v>0</v>
      </c>
      <c r="S13" s="583">
        <f t="shared" si="1"/>
        <v>1.5924009301062783</v>
      </c>
      <c r="T13" s="583">
        <f t="shared" si="1"/>
        <v>2.1592724712558495</v>
      </c>
      <c r="U13" s="583">
        <f t="shared" si="1"/>
        <v>0.45983389302488104</v>
      </c>
      <c r="V13" s="553"/>
      <c r="W13" s="593">
        <f>W12-M12</f>
        <v>-35676.36021</v>
      </c>
    </row>
    <row r="14" spans="1:23" s="237" customFormat="1" ht="56.25">
      <c r="A14" s="554" t="s">
        <v>35</v>
      </c>
      <c r="B14" s="555" t="s">
        <v>535</v>
      </c>
      <c r="C14" s="553">
        <f>C15+C19+C25+C34</f>
        <v>4529</v>
      </c>
      <c r="D14" s="553">
        <f aca="true" t="shared" si="3" ref="D14:R14">D15+D19+D25+D34</f>
        <v>0</v>
      </c>
      <c r="E14" s="553">
        <f>E15+E19+E25+E34</f>
        <v>4529</v>
      </c>
      <c r="F14" s="553">
        <f t="shared" si="3"/>
        <v>2374.76256</v>
      </c>
      <c r="G14" s="553">
        <f t="shared" si="3"/>
        <v>0</v>
      </c>
      <c r="H14" s="553">
        <f t="shared" si="3"/>
        <v>2374.76256</v>
      </c>
      <c r="I14" s="553">
        <f t="shared" si="3"/>
        <v>2374.76256</v>
      </c>
      <c r="J14" s="553">
        <f t="shared" si="3"/>
        <v>0</v>
      </c>
      <c r="K14" s="553">
        <f t="shared" si="3"/>
        <v>0</v>
      </c>
      <c r="L14" s="553">
        <f t="shared" si="3"/>
        <v>2374.76256</v>
      </c>
      <c r="M14" s="553">
        <f t="shared" si="3"/>
        <v>2374.76256</v>
      </c>
      <c r="N14" s="553">
        <f t="shared" si="3"/>
        <v>0</v>
      </c>
      <c r="O14" s="553">
        <f t="shared" si="3"/>
        <v>0</v>
      </c>
      <c r="P14" s="553">
        <f t="shared" si="3"/>
        <v>0</v>
      </c>
      <c r="Q14" s="553">
        <f t="shared" si="3"/>
        <v>0</v>
      </c>
      <c r="R14" s="553">
        <f t="shared" si="3"/>
        <v>0</v>
      </c>
      <c r="S14" s="584">
        <f t="shared" si="1"/>
        <v>0.524345895341135</v>
      </c>
      <c r="T14" s="584" t="e">
        <f t="shared" si="1"/>
        <v>#DIV/0!</v>
      </c>
      <c r="U14" s="584">
        <f t="shared" si="1"/>
        <v>0.524345895341135</v>
      </c>
      <c r="V14" s="552"/>
      <c r="W14" s="594"/>
    </row>
    <row r="15" spans="1:23" s="521" customFormat="1" ht="56.25">
      <c r="A15" s="556">
        <v>1</v>
      </c>
      <c r="B15" s="557" t="s">
        <v>749</v>
      </c>
      <c r="C15" s="553">
        <f>C16</f>
        <v>486</v>
      </c>
      <c r="D15" s="553">
        <f aca="true" t="shared" si="4" ref="D15:R15">D16</f>
        <v>0</v>
      </c>
      <c r="E15" s="553">
        <f t="shared" si="4"/>
        <v>486</v>
      </c>
      <c r="F15" s="553">
        <f t="shared" si="4"/>
        <v>223.09986</v>
      </c>
      <c r="G15" s="553">
        <f t="shared" si="4"/>
        <v>0</v>
      </c>
      <c r="H15" s="553">
        <f t="shared" si="4"/>
        <v>223.09986</v>
      </c>
      <c r="I15" s="553">
        <f t="shared" si="4"/>
        <v>223.09986</v>
      </c>
      <c r="J15" s="553">
        <f t="shared" si="4"/>
        <v>0</v>
      </c>
      <c r="K15" s="553">
        <f t="shared" si="4"/>
        <v>0</v>
      </c>
      <c r="L15" s="553">
        <f t="shared" si="4"/>
        <v>223.09986</v>
      </c>
      <c r="M15" s="553">
        <f t="shared" si="4"/>
        <v>223.09986</v>
      </c>
      <c r="N15" s="553">
        <f t="shared" si="4"/>
        <v>0</v>
      </c>
      <c r="O15" s="553">
        <f t="shared" si="4"/>
        <v>0</v>
      </c>
      <c r="P15" s="553">
        <f t="shared" si="4"/>
        <v>0</v>
      </c>
      <c r="Q15" s="553">
        <f t="shared" si="4"/>
        <v>0</v>
      </c>
      <c r="R15" s="553">
        <f t="shared" si="4"/>
        <v>0</v>
      </c>
      <c r="S15" s="584">
        <f aca="true" t="shared" si="5" ref="S15:S78">F15/C15</f>
        <v>0.45905320987654324</v>
      </c>
      <c r="T15" s="584" t="e">
        <f aca="true" t="shared" si="6" ref="T15:T78">G15/D15</f>
        <v>#DIV/0!</v>
      </c>
      <c r="U15" s="584">
        <f aca="true" t="shared" si="7" ref="U15:U78">H15/E15</f>
        <v>0.45905320987654324</v>
      </c>
      <c r="V15" s="553"/>
      <c r="W15" s="595"/>
    </row>
    <row r="16" spans="1:23" s="521" customFormat="1" ht="56.25">
      <c r="A16" s="556" t="s">
        <v>250</v>
      </c>
      <c r="B16" s="558" t="s">
        <v>746</v>
      </c>
      <c r="C16" s="560">
        <f>C17</f>
        <v>486</v>
      </c>
      <c r="D16" s="560">
        <f aca="true" t="shared" si="8" ref="D16:R17">D17</f>
        <v>0</v>
      </c>
      <c r="E16" s="560">
        <f t="shared" si="8"/>
        <v>486</v>
      </c>
      <c r="F16" s="560">
        <f t="shared" si="8"/>
        <v>223.09986</v>
      </c>
      <c r="G16" s="560">
        <f t="shared" si="8"/>
        <v>0</v>
      </c>
      <c r="H16" s="560">
        <f t="shared" si="8"/>
        <v>223.09986</v>
      </c>
      <c r="I16" s="560">
        <f t="shared" si="8"/>
        <v>223.09986</v>
      </c>
      <c r="J16" s="560">
        <f t="shared" si="8"/>
        <v>0</v>
      </c>
      <c r="K16" s="560">
        <f t="shared" si="8"/>
        <v>0</v>
      </c>
      <c r="L16" s="560">
        <f t="shared" si="8"/>
        <v>223.09986</v>
      </c>
      <c r="M16" s="560">
        <f t="shared" si="8"/>
        <v>223.09986</v>
      </c>
      <c r="N16" s="560">
        <f t="shared" si="8"/>
        <v>0</v>
      </c>
      <c r="O16" s="560">
        <f t="shared" si="8"/>
        <v>0</v>
      </c>
      <c r="P16" s="560">
        <f t="shared" si="8"/>
        <v>0</v>
      </c>
      <c r="Q16" s="560">
        <f t="shared" si="8"/>
        <v>0</v>
      </c>
      <c r="R16" s="560">
        <f t="shared" si="8"/>
        <v>0</v>
      </c>
      <c r="S16" s="584">
        <f t="shared" si="5"/>
        <v>0.45905320987654324</v>
      </c>
      <c r="T16" s="584" t="e">
        <f t="shared" si="6"/>
        <v>#DIV/0!</v>
      </c>
      <c r="U16" s="584">
        <f t="shared" si="7"/>
        <v>0.45905320987654324</v>
      </c>
      <c r="V16" s="553"/>
      <c r="W16" s="595"/>
    </row>
    <row r="17" spans="1:23" s="521" customFormat="1" ht="150">
      <c r="A17" s="556" t="s">
        <v>37</v>
      </c>
      <c r="B17" s="558" t="s">
        <v>747</v>
      </c>
      <c r="C17" s="560">
        <f>C18</f>
        <v>486</v>
      </c>
      <c r="D17" s="560">
        <f t="shared" si="8"/>
        <v>0</v>
      </c>
      <c r="E17" s="560">
        <f>E18</f>
        <v>486</v>
      </c>
      <c r="F17" s="560">
        <f t="shared" si="8"/>
        <v>223.09986</v>
      </c>
      <c r="G17" s="560">
        <f t="shared" si="8"/>
        <v>0</v>
      </c>
      <c r="H17" s="560">
        <f t="shared" si="8"/>
        <v>223.09986</v>
      </c>
      <c r="I17" s="560">
        <f t="shared" si="8"/>
        <v>223.09986</v>
      </c>
      <c r="J17" s="560">
        <f t="shared" si="8"/>
        <v>0</v>
      </c>
      <c r="K17" s="560">
        <f t="shared" si="8"/>
        <v>0</v>
      </c>
      <c r="L17" s="560">
        <f t="shared" si="8"/>
        <v>223.09986</v>
      </c>
      <c r="M17" s="560">
        <f t="shared" si="8"/>
        <v>223.09986</v>
      </c>
      <c r="N17" s="560">
        <f t="shared" si="8"/>
        <v>0</v>
      </c>
      <c r="O17" s="560">
        <f t="shared" si="8"/>
        <v>0</v>
      </c>
      <c r="P17" s="560">
        <f t="shared" si="8"/>
        <v>0</v>
      </c>
      <c r="Q17" s="560">
        <f t="shared" si="8"/>
        <v>0</v>
      </c>
      <c r="R17" s="560">
        <f t="shared" si="8"/>
        <v>0</v>
      </c>
      <c r="S17" s="584">
        <f t="shared" si="5"/>
        <v>0.45905320987654324</v>
      </c>
      <c r="T17" s="584" t="e">
        <f t="shared" si="6"/>
        <v>#DIV/0!</v>
      </c>
      <c r="U17" s="584">
        <f t="shared" si="7"/>
        <v>0.45905320987654324</v>
      </c>
      <c r="V17" s="553"/>
      <c r="W17" s="595"/>
    </row>
    <row r="18" spans="1:23" s="238" customFormat="1" ht="18.75">
      <c r="A18" s="559" t="s">
        <v>748</v>
      </c>
      <c r="B18" s="558" t="s">
        <v>733</v>
      </c>
      <c r="C18" s="560">
        <f>D18+E18</f>
        <v>486</v>
      </c>
      <c r="D18" s="560"/>
      <c r="E18" s="560">
        <v>486</v>
      </c>
      <c r="F18" s="553">
        <f>G18+H18</f>
        <v>223.09986</v>
      </c>
      <c r="G18" s="553">
        <f>J18+O18</f>
        <v>0</v>
      </c>
      <c r="H18" s="553">
        <f>L18+Q18</f>
        <v>223.09986</v>
      </c>
      <c r="I18" s="553">
        <f>J18+L18</f>
        <v>223.09986</v>
      </c>
      <c r="J18" s="553">
        <f>K18</f>
        <v>0</v>
      </c>
      <c r="K18" s="560"/>
      <c r="L18" s="599">
        <f>M18</f>
        <v>223.09986</v>
      </c>
      <c r="M18" s="560">
        <v>223.09986</v>
      </c>
      <c r="N18" s="553">
        <f>O18+Q18</f>
        <v>0</v>
      </c>
      <c r="O18" s="553">
        <f>P18</f>
        <v>0</v>
      </c>
      <c r="P18" s="553"/>
      <c r="Q18" s="553">
        <f>R18</f>
        <v>0</v>
      </c>
      <c r="R18" s="553"/>
      <c r="S18" s="584">
        <f t="shared" si="5"/>
        <v>0.45905320987654324</v>
      </c>
      <c r="T18" s="584" t="e">
        <f t="shared" si="6"/>
        <v>#DIV/0!</v>
      </c>
      <c r="U18" s="584">
        <f t="shared" si="7"/>
        <v>0.45905320987654324</v>
      </c>
      <c r="V18" s="560"/>
      <c r="W18" s="596"/>
    </row>
    <row r="19" spans="1:23" s="236" customFormat="1" ht="56.25">
      <c r="A19" s="550">
        <v>2</v>
      </c>
      <c r="B19" s="557" t="s">
        <v>759</v>
      </c>
      <c r="C19" s="553">
        <f>C20</f>
        <v>1924</v>
      </c>
      <c r="D19" s="553">
        <f aca="true" t="shared" si="9" ref="D19:R19">D20</f>
        <v>0</v>
      </c>
      <c r="E19" s="553">
        <f t="shared" si="9"/>
        <v>1924</v>
      </c>
      <c r="F19" s="553">
        <f t="shared" si="9"/>
        <v>315.997</v>
      </c>
      <c r="G19" s="553">
        <f t="shared" si="9"/>
        <v>0</v>
      </c>
      <c r="H19" s="553">
        <f t="shared" si="9"/>
        <v>315.997</v>
      </c>
      <c r="I19" s="553">
        <f t="shared" si="9"/>
        <v>315.997</v>
      </c>
      <c r="J19" s="553">
        <f t="shared" si="9"/>
        <v>0</v>
      </c>
      <c r="K19" s="553">
        <f t="shared" si="9"/>
        <v>0</v>
      </c>
      <c r="L19" s="553">
        <f t="shared" si="9"/>
        <v>315.997</v>
      </c>
      <c r="M19" s="553">
        <f t="shared" si="9"/>
        <v>315.997</v>
      </c>
      <c r="N19" s="553">
        <f t="shared" si="9"/>
        <v>0</v>
      </c>
      <c r="O19" s="553">
        <f t="shared" si="9"/>
        <v>0</v>
      </c>
      <c r="P19" s="553">
        <f t="shared" si="9"/>
        <v>0</v>
      </c>
      <c r="Q19" s="553">
        <f t="shared" si="9"/>
        <v>0</v>
      </c>
      <c r="R19" s="553">
        <f t="shared" si="9"/>
        <v>0</v>
      </c>
      <c r="S19" s="584">
        <f t="shared" si="5"/>
        <v>0.164239604989605</v>
      </c>
      <c r="T19" s="584" t="e">
        <f t="shared" si="6"/>
        <v>#DIV/0!</v>
      </c>
      <c r="U19" s="584">
        <f t="shared" si="7"/>
        <v>0.164239604989605</v>
      </c>
      <c r="V19" s="553"/>
      <c r="W19" s="597"/>
    </row>
    <row r="20" spans="1:23" s="236" customFormat="1" ht="75">
      <c r="A20" s="550" t="s">
        <v>252</v>
      </c>
      <c r="B20" s="558" t="s">
        <v>760</v>
      </c>
      <c r="C20" s="560">
        <f>C21+C23</f>
        <v>1924</v>
      </c>
      <c r="D20" s="560">
        <f aca="true" t="shared" si="10" ref="D20:R20">D21+D23</f>
        <v>0</v>
      </c>
      <c r="E20" s="560">
        <f t="shared" si="10"/>
        <v>1924</v>
      </c>
      <c r="F20" s="560">
        <f t="shared" si="10"/>
        <v>315.997</v>
      </c>
      <c r="G20" s="560">
        <f t="shared" si="10"/>
        <v>0</v>
      </c>
      <c r="H20" s="560">
        <f t="shared" si="10"/>
        <v>315.997</v>
      </c>
      <c r="I20" s="560">
        <f t="shared" si="10"/>
        <v>315.997</v>
      </c>
      <c r="J20" s="560">
        <f t="shared" si="10"/>
        <v>0</v>
      </c>
      <c r="K20" s="560">
        <f t="shared" si="10"/>
        <v>0</v>
      </c>
      <c r="L20" s="560">
        <f t="shared" si="10"/>
        <v>315.997</v>
      </c>
      <c r="M20" s="560">
        <f t="shared" si="10"/>
        <v>315.997</v>
      </c>
      <c r="N20" s="560">
        <f t="shared" si="10"/>
        <v>0</v>
      </c>
      <c r="O20" s="560">
        <f t="shared" si="10"/>
        <v>0</v>
      </c>
      <c r="P20" s="560">
        <f t="shared" si="10"/>
        <v>0</v>
      </c>
      <c r="Q20" s="560">
        <f t="shared" si="10"/>
        <v>0</v>
      </c>
      <c r="R20" s="560">
        <f t="shared" si="10"/>
        <v>0</v>
      </c>
      <c r="S20" s="584">
        <f t="shared" si="5"/>
        <v>0.164239604989605</v>
      </c>
      <c r="T20" s="584" t="e">
        <f t="shared" si="6"/>
        <v>#DIV/0!</v>
      </c>
      <c r="U20" s="584">
        <f t="shared" si="7"/>
        <v>0.164239604989605</v>
      </c>
      <c r="V20" s="553"/>
      <c r="W20" s="597"/>
    </row>
    <row r="21" spans="1:23" s="236" customFormat="1" ht="75">
      <c r="A21" s="550" t="s">
        <v>37</v>
      </c>
      <c r="B21" s="558" t="s">
        <v>761</v>
      </c>
      <c r="C21" s="560">
        <f>C22</f>
        <v>1924</v>
      </c>
      <c r="D21" s="560">
        <f aca="true" t="shared" si="11" ref="D21:R21">D22</f>
        <v>0</v>
      </c>
      <c r="E21" s="560">
        <f t="shared" si="11"/>
        <v>1924</v>
      </c>
      <c r="F21" s="560">
        <f t="shared" si="11"/>
        <v>315.997</v>
      </c>
      <c r="G21" s="560">
        <f t="shared" si="11"/>
        <v>0</v>
      </c>
      <c r="H21" s="560">
        <f t="shared" si="11"/>
        <v>315.997</v>
      </c>
      <c r="I21" s="560">
        <f t="shared" si="11"/>
        <v>315.997</v>
      </c>
      <c r="J21" s="560">
        <f t="shared" si="11"/>
        <v>0</v>
      </c>
      <c r="K21" s="560">
        <f t="shared" si="11"/>
        <v>0</v>
      </c>
      <c r="L21" s="560">
        <f t="shared" si="11"/>
        <v>315.997</v>
      </c>
      <c r="M21" s="560">
        <f t="shared" si="11"/>
        <v>315.997</v>
      </c>
      <c r="N21" s="560">
        <f t="shared" si="11"/>
        <v>0</v>
      </c>
      <c r="O21" s="560">
        <f t="shared" si="11"/>
        <v>0</v>
      </c>
      <c r="P21" s="560">
        <f t="shared" si="11"/>
        <v>0</v>
      </c>
      <c r="Q21" s="560">
        <f t="shared" si="11"/>
        <v>0</v>
      </c>
      <c r="R21" s="560">
        <f t="shared" si="11"/>
        <v>0</v>
      </c>
      <c r="S21" s="584">
        <f t="shared" si="5"/>
        <v>0.164239604989605</v>
      </c>
      <c r="T21" s="584" t="e">
        <f t="shared" si="6"/>
        <v>#DIV/0!</v>
      </c>
      <c r="U21" s="584">
        <f t="shared" si="7"/>
        <v>0.164239604989605</v>
      </c>
      <c r="V21" s="553"/>
      <c r="W21" s="597"/>
    </row>
    <row r="22" spans="1:23" s="238" customFormat="1" ht="18.75">
      <c r="A22" s="561" t="s">
        <v>748</v>
      </c>
      <c r="B22" s="558" t="s">
        <v>455</v>
      </c>
      <c r="C22" s="560">
        <f>D22+E22</f>
        <v>1924</v>
      </c>
      <c r="D22" s="560"/>
      <c r="E22" s="560">
        <f>837+1087</f>
        <v>1924</v>
      </c>
      <c r="F22" s="560">
        <f>G22+H22</f>
        <v>315.997</v>
      </c>
      <c r="G22" s="560">
        <f>J22+O22</f>
        <v>0</v>
      </c>
      <c r="H22" s="560">
        <f>L22+Q22</f>
        <v>315.997</v>
      </c>
      <c r="I22" s="560">
        <f>J22+L22</f>
        <v>315.997</v>
      </c>
      <c r="J22" s="560">
        <f>K22</f>
        <v>0</v>
      </c>
      <c r="K22" s="560"/>
      <c r="L22" s="560">
        <f>M22</f>
        <v>315.997</v>
      </c>
      <c r="M22" s="586">
        <v>315.997</v>
      </c>
      <c r="N22" s="560">
        <f>O22+Q22</f>
        <v>0</v>
      </c>
      <c r="O22" s="560">
        <f>P22</f>
        <v>0</v>
      </c>
      <c r="P22" s="560"/>
      <c r="Q22" s="560">
        <f>R22</f>
        <v>0</v>
      </c>
      <c r="R22" s="553"/>
      <c r="S22" s="584">
        <f t="shared" si="5"/>
        <v>0.164239604989605</v>
      </c>
      <c r="T22" s="584" t="e">
        <f t="shared" si="6"/>
        <v>#DIV/0!</v>
      </c>
      <c r="U22" s="584">
        <f t="shared" si="7"/>
        <v>0.164239604989605</v>
      </c>
      <c r="V22" s="560"/>
      <c r="W22" s="596"/>
    </row>
    <row r="23" spans="1:23" s="238" customFormat="1" ht="75">
      <c r="A23" s="561" t="s">
        <v>37</v>
      </c>
      <c r="B23" s="558" t="s">
        <v>761</v>
      </c>
      <c r="C23" s="560">
        <f>C24</f>
        <v>0</v>
      </c>
      <c r="D23" s="560">
        <f aca="true" t="shared" si="12" ref="D23:R23">D24</f>
        <v>0</v>
      </c>
      <c r="E23" s="560">
        <f t="shared" si="12"/>
        <v>0</v>
      </c>
      <c r="F23" s="560">
        <f t="shared" si="12"/>
        <v>0</v>
      </c>
      <c r="G23" s="560">
        <f t="shared" si="12"/>
        <v>0</v>
      </c>
      <c r="H23" s="560">
        <f t="shared" si="12"/>
        <v>0</v>
      </c>
      <c r="I23" s="560">
        <f t="shared" si="12"/>
        <v>0</v>
      </c>
      <c r="J23" s="560">
        <f t="shared" si="12"/>
        <v>0</v>
      </c>
      <c r="K23" s="560">
        <f t="shared" si="12"/>
        <v>0</v>
      </c>
      <c r="L23" s="560">
        <f t="shared" si="12"/>
        <v>0</v>
      </c>
      <c r="M23" s="560">
        <f t="shared" si="12"/>
        <v>0</v>
      </c>
      <c r="N23" s="560">
        <f t="shared" si="12"/>
        <v>0</v>
      </c>
      <c r="O23" s="560">
        <f t="shared" si="12"/>
        <v>0</v>
      </c>
      <c r="P23" s="560">
        <f t="shared" si="12"/>
        <v>0</v>
      </c>
      <c r="Q23" s="560">
        <f t="shared" si="12"/>
        <v>0</v>
      </c>
      <c r="R23" s="560">
        <f t="shared" si="12"/>
        <v>0</v>
      </c>
      <c r="S23" s="584" t="e">
        <f t="shared" si="5"/>
        <v>#DIV/0!</v>
      </c>
      <c r="T23" s="584" t="e">
        <f t="shared" si="6"/>
        <v>#DIV/0!</v>
      </c>
      <c r="U23" s="584" t="e">
        <f t="shared" si="7"/>
        <v>#DIV/0!</v>
      </c>
      <c r="V23" s="560"/>
      <c r="W23" s="596"/>
    </row>
    <row r="24" spans="1:23" s="238" customFormat="1" ht="18.75">
      <c r="A24" s="561" t="s">
        <v>748</v>
      </c>
      <c r="B24" s="562" t="s">
        <v>536</v>
      </c>
      <c r="C24" s="560">
        <f>D24+E24</f>
        <v>0</v>
      </c>
      <c r="D24" s="560"/>
      <c r="E24" s="560"/>
      <c r="F24" s="553">
        <f>G24+H24</f>
        <v>0</v>
      </c>
      <c r="G24" s="553">
        <f>J24+O24</f>
        <v>0</v>
      </c>
      <c r="H24" s="553">
        <f>L24+Q24</f>
        <v>0</v>
      </c>
      <c r="I24" s="553">
        <f>J24+L24</f>
        <v>0</v>
      </c>
      <c r="J24" s="553">
        <f>K24</f>
        <v>0</v>
      </c>
      <c r="K24" s="560"/>
      <c r="L24" s="553">
        <f>M24</f>
        <v>0</v>
      </c>
      <c r="M24" s="586"/>
      <c r="N24" s="553">
        <f>O24+Q24</f>
        <v>0</v>
      </c>
      <c r="O24" s="553">
        <f>P24</f>
        <v>0</v>
      </c>
      <c r="P24" s="553"/>
      <c r="Q24" s="553">
        <f>R24</f>
        <v>0</v>
      </c>
      <c r="R24" s="553"/>
      <c r="S24" s="584" t="e">
        <f t="shared" si="5"/>
        <v>#DIV/0!</v>
      </c>
      <c r="T24" s="584" t="e">
        <f t="shared" si="6"/>
        <v>#DIV/0!</v>
      </c>
      <c r="U24" s="584" t="e">
        <f t="shared" si="7"/>
        <v>#DIV/0!</v>
      </c>
      <c r="V24" s="560"/>
      <c r="W24" s="596"/>
    </row>
    <row r="25" spans="1:23" s="238" customFormat="1" ht="56.25">
      <c r="A25" s="556">
        <v>3</v>
      </c>
      <c r="B25" s="557" t="s">
        <v>560</v>
      </c>
      <c r="C25" s="553">
        <f>C26+C31</f>
        <v>1524</v>
      </c>
      <c r="D25" s="553">
        <f aca="true" t="shared" si="13" ref="D25:R25">D26+D31</f>
        <v>0</v>
      </c>
      <c r="E25" s="553">
        <f t="shared" si="13"/>
        <v>1524</v>
      </c>
      <c r="F25" s="553">
        <f t="shared" si="13"/>
        <v>1247.221</v>
      </c>
      <c r="G25" s="553">
        <f t="shared" si="13"/>
        <v>0</v>
      </c>
      <c r="H25" s="553">
        <f t="shared" si="13"/>
        <v>1247.221</v>
      </c>
      <c r="I25" s="553">
        <f t="shared" si="13"/>
        <v>1247.221</v>
      </c>
      <c r="J25" s="553">
        <f t="shared" si="13"/>
        <v>0</v>
      </c>
      <c r="K25" s="553">
        <f t="shared" si="13"/>
        <v>0</v>
      </c>
      <c r="L25" s="553">
        <f t="shared" si="13"/>
        <v>1247.221</v>
      </c>
      <c r="M25" s="553">
        <f t="shared" si="13"/>
        <v>1247.221</v>
      </c>
      <c r="N25" s="553">
        <f t="shared" si="13"/>
        <v>0</v>
      </c>
      <c r="O25" s="553">
        <f t="shared" si="13"/>
        <v>0</v>
      </c>
      <c r="P25" s="553">
        <f t="shared" si="13"/>
        <v>0</v>
      </c>
      <c r="Q25" s="553">
        <f t="shared" si="13"/>
        <v>0</v>
      </c>
      <c r="R25" s="553">
        <f t="shared" si="13"/>
        <v>0</v>
      </c>
      <c r="S25" s="584">
        <f t="shared" si="5"/>
        <v>0.8183864829396326</v>
      </c>
      <c r="T25" s="584" t="e">
        <f t="shared" si="6"/>
        <v>#DIV/0!</v>
      </c>
      <c r="U25" s="584">
        <f t="shared" si="7"/>
        <v>0.8183864829396326</v>
      </c>
      <c r="V25" s="560"/>
      <c r="W25" s="596"/>
    </row>
    <row r="26" spans="1:23" s="238" customFormat="1" ht="56.25">
      <c r="A26" s="563" t="s">
        <v>258</v>
      </c>
      <c r="B26" s="562" t="s">
        <v>750</v>
      </c>
      <c r="C26" s="560">
        <f>C27+C29</f>
        <v>1351</v>
      </c>
      <c r="D26" s="560">
        <f aca="true" t="shared" si="14" ref="D26:R26">D27+D29</f>
        <v>0</v>
      </c>
      <c r="E26" s="560">
        <f t="shared" si="14"/>
        <v>1351</v>
      </c>
      <c r="F26" s="560">
        <f t="shared" si="14"/>
        <v>1074.221</v>
      </c>
      <c r="G26" s="560">
        <f t="shared" si="14"/>
        <v>0</v>
      </c>
      <c r="H26" s="560">
        <f t="shared" si="14"/>
        <v>1074.221</v>
      </c>
      <c r="I26" s="560">
        <f t="shared" si="14"/>
        <v>1074.221</v>
      </c>
      <c r="J26" s="560">
        <f t="shared" si="14"/>
        <v>0</v>
      </c>
      <c r="K26" s="560">
        <f t="shared" si="14"/>
        <v>0</v>
      </c>
      <c r="L26" s="560">
        <f t="shared" si="14"/>
        <v>1074.221</v>
      </c>
      <c r="M26" s="560">
        <f t="shared" si="14"/>
        <v>1074.221</v>
      </c>
      <c r="N26" s="560">
        <f t="shared" si="14"/>
        <v>0</v>
      </c>
      <c r="O26" s="560">
        <f t="shared" si="14"/>
        <v>0</v>
      </c>
      <c r="P26" s="560">
        <f t="shared" si="14"/>
        <v>0</v>
      </c>
      <c r="Q26" s="560">
        <f t="shared" si="14"/>
        <v>0</v>
      </c>
      <c r="R26" s="560">
        <f t="shared" si="14"/>
        <v>0</v>
      </c>
      <c r="S26" s="584">
        <f t="shared" si="5"/>
        <v>0.7951302738712065</v>
      </c>
      <c r="T26" s="584" t="e">
        <f t="shared" si="6"/>
        <v>#DIV/0!</v>
      </c>
      <c r="U26" s="584">
        <f t="shared" si="7"/>
        <v>0.7951302738712065</v>
      </c>
      <c r="V26" s="560"/>
      <c r="W26" s="596"/>
    </row>
    <row r="27" spans="1:23" s="238" customFormat="1" ht="112.5">
      <c r="A27" s="563" t="s">
        <v>37</v>
      </c>
      <c r="B27" s="562" t="s">
        <v>751</v>
      </c>
      <c r="C27" s="560">
        <f>C28</f>
        <v>1001</v>
      </c>
      <c r="D27" s="560">
        <f aca="true" t="shared" si="15" ref="D27:R27">D28</f>
        <v>0</v>
      </c>
      <c r="E27" s="560">
        <f t="shared" si="15"/>
        <v>1001</v>
      </c>
      <c r="F27" s="560">
        <f t="shared" si="15"/>
        <v>1074.221</v>
      </c>
      <c r="G27" s="560">
        <f t="shared" si="15"/>
        <v>0</v>
      </c>
      <c r="H27" s="560">
        <f t="shared" si="15"/>
        <v>1074.221</v>
      </c>
      <c r="I27" s="560">
        <f t="shared" si="15"/>
        <v>1074.221</v>
      </c>
      <c r="J27" s="560">
        <f t="shared" si="15"/>
        <v>0</v>
      </c>
      <c r="K27" s="560">
        <f t="shared" si="15"/>
        <v>0</v>
      </c>
      <c r="L27" s="560">
        <f t="shared" si="15"/>
        <v>1074.221</v>
      </c>
      <c r="M27" s="560">
        <f t="shared" si="15"/>
        <v>1074.221</v>
      </c>
      <c r="N27" s="560">
        <f t="shared" si="15"/>
        <v>0</v>
      </c>
      <c r="O27" s="560">
        <f t="shared" si="15"/>
        <v>0</v>
      </c>
      <c r="P27" s="560">
        <f t="shared" si="15"/>
        <v>0</v>
      </c>
      <c r="Q27" s="560">
        <f t="shared" si="15"/>
        <v>0</v>
      </c>
      <c r="R27" s="560">
        <f t="shared" si="15"/>
        <v>0</v>
      </c>
      <c r="S27" s="584">
        <f t="shared" si="5"/>
        <v>1.0731478521478521</v>
      </c>
      <c r="T27" s="584" t="e">
        <f t="shared" si="6"/>
        <v>#DIV/0!</v>
      </c>
      <c r="U27" s="584">
        <f t="shared" si="7"/>
        <v>1.0731478521478521</v>
      </c>
      <c r="V27" s="560"/>
      <c r="W27" s="596"/>
    </row>
    <row r="28" spans="1:23" s="238" customFormat="1" ht="18.75">
      <c r="A28" s="563"/>
      <c r="B28" s="562" t="s">
        <v>452</v>
      </c>
      <c r="C28" s="560">
        <f>D28+E28</f>
        <v>1001</v>
      </c>
      <c r="D28" s="560"/>
      <c r="E28" s="560">
        <v>1001</v>
      </c>
      <c r="F28" s="560">
        <f>G28+H28</f>
        <v>1074.221</v>
      </c>
      <c r="G28" s="560">
        <f>J28+O28</f>
        <v>0</v>
      </c>
      <c r="H28" s="560">
        <f>L28+Q28</f>
        <v>1074.221</v>
      </c>
      <c r="I28" s="560">
        <f>J28+L28</f>
        <v>1074.221</v>
      </c>
      <c r="J28" s="560">
        <f>K28</f>
        <v>0</v>
      </c>
      <c r="K28" s="560"/>
      <c r="L28" s="560">
        <f>M28</f>
        <v>1074.221</v>
      </c>
      <c r="M28" s="560">
        <v>1074.221</v>
      </c>
      <c r="N28" s="560">
        <f>O28+Q28</f>
        <v>0</v>
      </c>
      <c r="O28" s="560">
        <f>P28</f>
        <v>0</v>
      </c>
      <c r="P28" s="560"/>
      <c r="Q28" s="560">
        <f>R28</f>
        <v>0</v>
      </c>
      <c r="R28" s="560"/>
      <c r="S28" s="584">
        <f t="shared" si="5"/>
        <v>1.0731478521478521</v>
      </c>
      <c r="T28" s="584" t="e">
        <f t="shared" si="6"/>
        <v>#DIV/0!</v>
      </c>
      <c r="U28" s="584">
        <f t="shared" si="7"/>
        <v>1.0731478521478521</v>
      </c>
      <c r="V28" s="560"/>
      <c r="W28" s="596"/>
    </row>
    <row r="29" spans="1:23" s="238" customFormat="1" ht="37.5">
      <c r="A29" s="563" t="s">
        <v>37</v>
      </c>
      <c r="B29" s="562" t="s">
        <v>758</v>
      </c>
      <c r="C29" s="560">
        <f>C30</f>
        <v>350</v>
      </c>
      <c r="D29" s="560">
        <f aca="true" t="shared" si="16" ref="D29:R29">D30</f>
        <v>0</v>
      </c>
      <c r="E29" s="560">
        <f t="shared" si="16"/>
        <v>350</v>
      </c>
      <c r="F29" s="560">
        <f t="shared" si="16"/>
        <v>0</v>
      </c>
      <c r="G29" s="560">
        <f t="shared" si="16"/>
        <v>0</v>
      </c>
      <c r="H29" s="560">
        <f t="shared" si="16"/>
        <v>0</v>
      </c>
      <c r="I29" s="560">
        <f t="shared" si="16"/>
        <v>0</v>
      </c>
      <c r="J29" s="560">
        <f t="shared" si="16"/>
        <v>0</v>
      </c>
      <c r="K29" s="560">
        <f t="shared" si="16"/>
        <v>0</v>
      </c>
      <c r="L29" s="560">
        <f t="shared" si="16"/>
        <v>0</v>
      </c>
      <c r="M29" s="560">
        <f t="shared" si="16"/>
        <v>0</v>
      </c>
      <c r="N29" s="560">
        <f t="shared" si="16"/>
        <v>0</v>
      </c>
      <c r="O29" s="560">
        <f t="shared" si="16"/>
        <v>0</v>
      </c>
      <c r="P29" s="560">
        <f t="shared" si="16"/>
        <v>0</v>
      </c>
      <c r="Q29" s="560">
        <f t="shared" si="16"/>
        <v>0</v>
      </c>
      <c r="R29" s="560">
        <f t="shared" si="16"/>
        <v>0</v>
      </c>
      <c r="S29" s="584">
        <f t="shared" si="5"/>
        <v>0</v>
      </c>
      <c r="T29" s="584" t="e">
        <f t="shared" si="6"/>
        <v>#DIV/0!</v>
      </c>
      <c r="U29" s="584">
        <f t="shared" si="7"/>
        <v>0</v>
      </c>
      <c r="V29" s="560"/>
      <c r="W29" s="596"/>
    </row>
    <row r="30" spans="1:23" s="238" customFormat="1" ht="18.75">
      <c r="A30" s="563"/>
      <c r="B30" s="562" t="s">
        <v>452</v>
      </c>
      <c r="C30" s="560">
        <f>D30+E30</f>
        <v>350</v>
      </c>
      <c r="D30" s="560"/>
      <c r="E30" s="560">
        <v>350</v>
      </c>
      <c r="F30" s="560">
        <f>G30+H30</f>
        <v>0</v>
      </c>
      <c r="G30" s="560">
        <f>J30+O30</f>
        <v>0</v>
      </c>
      <c r="H30" s="560">
        <f>L30+Q30</f>
        <v>0</v>
      </c>
      <c r="I30" s="560">
        <f>J30+L30</f>
        <v>0</v>
      </c>
      <c r="J30" s="560">
        <f>K30</f>
        <v>0</v>
      </c>
      <c r="K30" s="560"/>
      <c r="L30" s="560">
        <f>M30</f>
        <v>0</v>
      </c>
      <c r="M30" s="560"/>
      <c r="N30" s="560">
        <f>O30+Q30</f>
        <v>0</v>
      </c>
      <c r="O30" s="560">
        <f>P30</f>
        <v>0</v>
      </c>
      <c r="P30" s="560"/>
      <c r="Q30" s="560">
        <f>R30</f>
        <v>0</v>
      </c>
      <c r="R30" s="560"/>
      <c r="S30" s="584">
        <f t="shared" si="5"/>
        <v>0</v>
      </c>
      <c r="T30" s="584" t="e">
        <f t="shared" si="6"/>
        <v>#DIV/0!</v>
      </c>
      <c r="U30" s="584">
        <f t="shared" si="7"/>
        <v>0</v>
      </c>
      <c r="V30" s="560"/>
      <c r="W30" s="596"/>
    </row>
    <row r="31" spans="1:23" s="238" customFormat="1" ht="56.25">
      <c r="A31" s="563" t="s">
        <v>259</v>
      </c>
      <c r="B31" s="562" t="s">
        <v>756</v>
      </c>
      <c r="C31" s="560">
        <f>C32</f>
        <v>173</v>
      </c>
      <c r="D31" s="560">
        <f aca="true" t="shared" si="17" ref="D31:R32">D32</f>
        <v>0</v>
      </c>
      <c r="E31" s="560">
        <f t="shared" si="17"/>
        <v>173</v>
      </c>
      <c r="F31" s="560">
        <f t="shared" si="17"/>
        <v>173</v>
      </c>
      <c r="G31" s="560">
        <f t="shared" si="17"/>
        <v>0</v>
      </c>
      <c r="H31" s="560">
        <f t="shared" si="17"/>
        <v>173</v>
      </c>
      <c r="I31" s="560">
        <f t="shared" si="17"/>
        <v>173</v>
      </c>
      <c r="J31" s="560">
        <f t="shared" si="17"/>
        <v>0</v>
      </c>
      <c r="K31" s="560">
        <f t="shared" si="17"/>
        <v>0</v>
      </c>
      <c r="L31" s="560">
        <f t="shared" si="17"/>
        <v>173</v>
      </c>
      <c r="M31" s="560">
        <f t="shared" si="17"/>
        <v>173</v>
      </c>
      <c r="N31" s="560">
        <f t="shared" si="17"/>
        <v>0</v>
      </c>
      <c r="O31" s="560">
        <f t="shared" si="17"/>
        <v>0</v>
      </c>
      <c r="P31" s="560">
        <f t="shared" si="17"/>
        <v>0</v>
      </c>
      <c r="Q31" s="560">
        <f t="shared" si="17"/>
        <v>0</v>
      </c>
      <c r="R31" s="560">
        <f t="shared" si="17"/>
        <v>0</v>
      </c>
      <c r="S31" s="584">
        <f t="shared" si="5"/>
        <v>1</v>
      </c>
      <c r="T31" s="584" t="e">
        <f t="shared" si="6"/>
        <v>#DIV/0!</v>
      </c>
      <c r="U31" s="584">
        <f t="shared" si="7"/>
        <v>1</v>
      </c>
      <c r="V31" s="560"/>
      <c r="W31" s="596"/>
    </row>
    <row r="32" spans="1:23" s="238" customFormat="1" ht="93.75">
      <c r="A32" s="563" t="s">
        <v>37</v>
      </c>
      <c r="B32" s="562" t="s">
        <v>757</v>
      </c>
      <c r="C32" s="560">
        <f>C33</f>
        <v>173</v>
      </c>
      <c r="D32" s="560">
        <f t="shared" si="17"/>
        <v>0</v>
      </c>
      <c r="E32" s="560">
        <f t="shared" si="17"/>
        <v>173</v>
      </c>
      <c r="F32" s="560">
        <f t="shared" si="17"/>
        <v>173</v>
      </c>
      <c r="G32" s="560">
        <f t="shared" si="17"/>
        <v>0</v>
      </c>
      <c r="H32" s="560">
        <f t="shared" si="17"/>
        <v>173</v>
      </c>
      <c r="I32" s="560">
        <f t="shared" si="17"/>
        <v>173</v>
      </c>
      <c r="J32" s="560">
        <f t="shared" si="17"/>
        <v>0</v>
      </c>
      <c r="K32" s="560">
        <f t="shared" si="17"/>
        <v>0</v>
      </c>
      <c r="L32" s="560">
        <f t="shared" si="17"/>
        <v>173</v>
      </c>
      <c r="M32" s="560">
        <f t="shared" si="17"/>
        <v>173</v>
      </c>
      <c r="N32" s="560">
        <f t="shared" si="17"/>
        <v>0</v>
      </c>
      <c r="O32" s="560">
        <f t="shared" si="17"/>
        <v>0</v>
      </c>
      <c r="P32" s="560">
        <f t="shared" si="17"/>
        <v>0</v>
      </c>
      <c r="Q32" s="560">
        <f t="shared" si="17"/>
        <v>0</v>
      </c>
      <c r="R32" s="560">
        <f t="shared" si="17"/>
        <v>0</v>
      </c>
      <c r="S32" s="584">
        <f t="shared" si="5"/>
        <v>1</v>
      </c>
      <c r="T32" s="584" t="e">
        <f t="shared" si="6"/>
        <v>#DIV/0!</v>
      </c>
      <c r="U32" s="584">
        <f t="shared" si="7"/>
        <v>1</v>
      </c>
      <c r="V32" s="560"/>
      <c r="W32" s="596"/>
    </row>
    <row r="33" spans="1:23" s="238" customFormat="1" ht="18.75">
      <c r="A33" s="563" t="s">
        <v>748</v>
      </c>
      <c r="B33" s="562" t="s">
        <v>536</v>
      </c>
      <c r="C33" s="560">
        <f>D33+E33</f>
        <v>173</v>
      </c>
      <c r="D33" s="560"/>
      <c r="E33" s="560">
        <v>173</v>
      </c>
      <c r="F33" s="560">
        <f>G33+H33</f>
        <v>173</v>
      </c>
      <c r="G33" s="560">
        <f>J33+O33</f>
        <v>0</v>
      </c>
      <c r="H33" s="560">
        <f>L33+Q33</f>
        <v>173</v>
      </c>
      <c r="I33" s="560">
        <f>J33+L33</f>
        <v>173</v>
      </c>
      <c r="J33" s="560">
        <f>K33</f>
        <v>0</v>
      </c>
      <c r="K33" s="560"/>
      <c r="L33" s="560">
        <f>M33</f>
        <v>173</v>
      </c>
      <c r="M33" s="560">
        <v>173</v>
      </c>
      <c r="N33" s="560">
        <f>O33+Q33</f>
        <v>0</v>
      </c>
      <c r="O33" s="560">
        <f>P33</f>
        <v>0</v>
      </c>
      <c r="P33" s="560"/>
      <c r="Q33" s="560">
        <f>R33</f>
        <v>0</v>
      </c>
      <c r="R33" s="560"/>
      <c r="S33" s="584">
        <f t="shared" si="5"/>
        <v>1</v>
      </c>
      <c r="T33" s="584" t="e">
        <f t="shared" si="6"/>
        <v>#DIV/0!</v>
      </c>
      <c r="U33" s="584">
        <f t="shared" si="7"/>
        <v>1</v>
      </c>
      <c r="V33" s="560"/>
      <c r="W33" s="596"/>
    </row>
    <row r="34" spans="1:23" s="238" customFormat="1" ht="54" customHeight="1">
      <c r="A34" s="556">
        <v>4</v>
      </c>
      <c r="B34" s="557" t="s">
        <v>562</v>
      </c>
      <c r="C34" s="553">
        <f>C35+C38</f>
        <v>595</v>
      </c>
      <c r="D34" s="553">
        <f aca="true" t="shared" si="18" ref="D34:R34">D35+D38</f>
        <v>0</v>
      </c>
      <c r="E34" s="553">
        <f t="shared" si="18"/>
        <v>595</v>
      </c>
      <c r="F34" s="553">
        <f t="shared" si="18"/>
        <v>588.4447</v>
      </c>
      <c r="G34" s="553">
        <f t="shared" si="18"/>
        <v>0</v>
      </c>
      <c r="H34" s="553">
        <f t="shared" si="18"/>
        <v>588.4447</v>
      </c>
      <c r="I34" s="553">
        <f t="shared" si="18"/>
        <v>588.4447</v>
      </c>
      <c r="J34" s="553">
        <f t="shared" si="18"/>
        <v>0</v>
      </c>
      <c r="K34" s="553">
        <f t="shared" si="18"/>
        <v>0</v>
      </c>
      <c r="L34" s="553">
        <f t="shared" si="18"/>
        <v>588.4447</v>
      </c>
      <c r="M34" s="553">
        <f t="shared" si="18"/>
        <v>588.4447</v>
      </c>
      <c r="N34" s="553">
        <f t="shared" si="18"/>
        <v>0</v>
      </c>
      <c r="O34" s="553">
        <f t="shared" si="18"/>
        <v>0</v>
      </c>
      <c r="P34" s="553">
        <f t="shared" si="18"/>
        <v>0</v>
      </c>
      <c r="Q34" s="553">
        <f t="shared" si="18"/>
        <v>0</v>
      </c>
      <c r="R34" s="553">
        <f t="shared" si="18"/>
        <v>0</v>
      </c>
      <c r="S34" s="584">
        <f t="shared" si="5"/>
        <v>0.9889826890756303</v>
      </c>
      <c r="T34" s="584" t="e">
        <f t="shared" si="6"/>
        <v>#DIV/0!</v>
      </c>
      <c r="U34" s="584">
        <f t="shared" si="7"/>
        <v>0.9889826890756303</v>
      </c>
      <c r="V34" s="560"/>
      <c r="W34" s="596"/>
    </row>
    <row r="35" spans="1:23" s="238" customFormat="1" ht="54" customHeight="1">
      <c r="A35" s="563" t="s">
        <v>472</v>
      </c>
      <c r="B35" s="562" t="s">
        <v>752</v>
      </c>
      <c r="C35" s="560">
        <f>C36</f>
        <v>388</v>
      </c>
      <c r="D35" s="560">
        <f aca="true" t="shared" si="19" ref="D35:R36">D36</f>
        <v>0</v>
      </c>
      <c r="E35" s="560">
        <f t="shared" si="19"/>
        <v>388</v>
      </c>
      <c r="F35" s="560">
        <f t="shared" si="19"/>
        <v>534.929</v>
      </c>
      <c r="G35" s="560">
        <f t="shared" si="19"/>
        <v>0</v>
      </c>
      <c r="H35" s="560">
        <f t="shared" si="19"/>
        <v>534.929</v>
      </c>
      <c r="I35" s="560">
        <f t="shared" si="19"/>
        <v>534.929</v>
      </c>
      <c r="J35" s="560">
        <f t="shared" si="19"/>
        <v>0</v>
      </c>
      <c r="K35" s="560">
        <f t="shared" si="19"/>
        <v>0</v>
      </c>
      <c r="L35" s="560">
        <f t="shared" si="19"/>
        <v>534.929</v>
      </c>
      <c r="M35" s="560">
        <f t="shared" si="19"/>
        <v>534.929</v>
      </c>
      <c r="N35" s="560">
        <f t="shared" si="19"/>
        <v>0</v>
      </c>
      <c r="O35" s="560">
        <f t="shared" si="19"/>
        <v>0</v>
      </c>
      <c r="P35" s="560">
        <f t="shared" si="19"/>
        <v>0</v>
      </c>
      <c r="Q35" s="560">
        <f t="shared" si="19"/>
        <v>0</v>
      </c>
      <c r="R35" s="560">
        <f t="shared" si="19"/>
        <v>0</v>
      </c>
      <c r="S35" s="584">
        <f t="shared" si="5"/>
        <v>1.3786829896907216</v>
      </c>
      <c r="T35" s="584" t="e">
        <f t="shared" si="6"/>
        <v>#DIV/0!</v>
      </c>
      <c r="U35" s="584">
        <f t="shared" si="7"/>
        <v>1.3786829896907216</v>
      </c>
      <c r="V35" s="560"/>
      <c r="W35" s="596"/>
    </row>
    <row r="36" spans="1:23" s="238" customFormat="1" ht="150">
      <c r="A36" s="563" t="s">
        <v>37</v>
      </c>
      <c r="B36" s="562" t="s">
        <v>753</v>
      </c>
      <c r="C36" s="560">
        <f>C37</f>
        <v>388</v>
      </c>
      <c r="D36" s="560">
        <f t="shared" si="19"/>
        <v>0</v>
      </c>
      <c r="E36" s="560">
        <f t="shared" si="19"/>
        <v>388</v>
      </c>
      <c r="F36" s="560">
        <f t="shared" si="19"/>
        <v>534.929</v>
      </c>
      <c r="G36" s="560">
        <f t="shared" si="19"/>
        <v>0</v>
      </c>
      <c r="H36" s="560">
        <f t="shared" si="19"/>
        <v>534.929</v>
      </c>
      <c r="I36" s="560">
        <f t="shared" si="19"/>
        <v>534.929</v>
      </c>
      <c r="J36" s="560">
        <f t="shared" si="19"/>
        <v>0</v>
      </c>
      <c r="K36" s="560">
        <f t="shared" si="19"/>
        <v>0</v>
      </c>
      <c r="L36" s="560">
        <f t="shared" si="19"/>
        <v>534.929</v>
      </c>
      <c r="M36" s="560">
        <f t="shared" si="19"/>
        <v>534.929</v>
      </c>
      <c r="N36" s="560">
        <f t="shared" si="19"/>
        <v>0</v>
      </c>
      <c r="O36" s="560">
        <f t="shared" si="19"/>
        <v>0</v>
      </c>
      <c r="P36" s="560">
        <f t="shared" si="19"/>
        <v>0</v>
      </c>
      <c r="Q36" s="560">
        <f t="shared" si="19"/>
        <v>0</v>
      </c>
      <c r="R36" s="560">
        <f t="shared" si="19"/>
        <v>0</v>
      </c>
      <c r="S36" s="584">
        <f t="shared" si="5"/>
        <v>1.3786829896907216</v>
      </c>
      <c r="T36" s="584" t="e">
        <f t="shared" si="6"/>
        <v>#DIV/0!</v>
      </c>
      <c r="U36" s="584">
        <f t="shared" si="7"/>
        <v>1.3786829896907216</v>
      </c>
      <c r="V36" s="560"/>
      <c r="W36" s="596"/>
    </row>
    <row r="37" spans="1:23" s="238" customFormat="1" ht="18.75">
      <c r="A37" s="561" t="s">
        <v>748</v>
      </c>
      <c r="B37" s="562" t="s">
        <v>536</v>
      </c>
      <c r="C37" s="560">
        <f>D37+E37</f>
        <v>388</v>
      </c>
      <c r="D37" s="560"/>
      <c r="E37" s="560">
        <v>388</v>
      </c>
      <c r="F37" s="560">
        <f>G37+H37</f>
        <v>534.929</v>
      </c>
      <c r="G37" s="560">
        <f>J37+O37</f>
        <v>0</v>
      </c>
      <c r="H37" s="560">
        <f>L37+Q37</f>
        <v>534.929</v>
      </c>
      <c r="I37" s="560">
        <f>J37+L37</f>
        <v>534.929</v>
      </c>
      <c r="J37" s="560">
        <f>K37</f>
        <v>0</v>
      </c>
      <c r="K37" s="560"/>
      <c r="L37" s="560">
        <f>M37</f>
        <v>534.929</v>
      </c>
      <c r="M37" s="560">
        <v>534.929</v>
      </c>
      <c r="N37" s="560">
        <f>O37+Q37</f>
        <v>0</v>
      </c>
      <c r="O37" s="560">
        <f>P37</f>
        <v>0</v>
      </c>
      <c r="P37" s="560"/>
      <c r="Q37" s="560">
        <f>R37</f>
        <v>0</v>
      </c>
      <c r="R37" s="560"/>
      <c r="S37" s="584">
        <f t="shared" si="5"/>
        <v>1.3786829896907216</v>
      </c>
      <c r="T37" s="584" t="e">
        <f t="shared" si="6"/>
        <v>#DIV/0!</v>
      </c>
      <c r="U37" s="584">
        <f t="shared" si="7"/>
        <v>1.3786829896907216</v>
      </c>
      <c r="V37" s="560"/>
      <c r="W37" s="596"/>
    </row>
    <row r="38" spans="1:23" s="238" customFormat="1" ht="56.25">
      <c r="A38" s="561" t="s">
        <v>487</v>
      </c>
      <c r="B38" s="562" t="s">
        <v>754</v>
      </c>
      <c r="C38" s="560">
        <f>C39</f>
        <v>207</v>
      </c>
      <c r="D38" s="560">
        <f aca="true" t="shared" si="20" ref="D38:R38">D39</f>
        <v>0</v>
      </c>
      <c r="E38" s="560">
        <f t="shared" si="20"/>
        <v>207</v>
      </c>
      <c r="F38" s="560">
        <f t="shared" si="20"/>
        <v>53.5157</v>
      </c>
      <c r="G38" s="560">
        <f t="shared" si="20"/>
        <v>0</v>
      </c>
      <c r="H38" s="560">
        <f t="shared" si="20"/>
        <v>53.5157</v>
      </c>
      <c r="I38" s="560">
        <f t="shared" si="20"/>
        <v>53.5157</v>
      </c>
      <c r="J38" s="560">
        <f t="shared" si="20"/>
        <v>0</v>
      </c>
      <c r="K38" s="560">
        <f t="shared" si="20"/>
        <v>0</v>
      </c>
      <c r="L38" s="560">
        <f t="shared" si="20"/>
        <v>53.5157</v>
      </c>
      <c r="M38" s="560">
        <f t="shared" si="20"/>
        <v>53.5157</v>
      </c>
      <c r="N38" s="560">
        <f t="shared" si="20"/>
        <v>0</v>
      </c>
      <c r="O38" s="560">
        <f t="shared" si="20"/>
        <v>0</v>
      </c>
      <c r="P38" s="560">
        <f t="shared" si="20"/>
        <v>0</v>
      </c>
      <c r="Q38" s="560">
        <f t="shared" si="20"/>
        <v>0</v>
      </c>
      <c r="R38" s="560">
        <f t="shared" si="20"/>
        <v>0</v>
      </c>
      <c r="S38" s="584">
        <f t="shared" si="5"/>
        <v>0.25852995169082127</v>
      </c>
      <c r="T38" s="584" t="e">
        <f t="shared" si="6"/>
        <v>#DIV/0!</v>
      </c>
      <c r="U38" s="584">
        <f t="shared" si="7"/>
        <v>0.25852995169082127</v>
      </c>
      <c r="V38" s="560"/>
      <c r="W38" s="596"/>
    </row>
    <row r="39" spans="1:23" s="238" customFormat="1" ht="150">
      <c r="A39" s="561" t="s">
        <v>37</v>
      </c>
      <c r="B39" s="562" t="s">
        <v>755</v>
      </c>
      <c r="C39" s="560">
        <f>SUM(C40:C46)</f>
        <v>207</v>
      </c>
      <c r="D39" s="560">
        <f aca="true" t="shared" si="21" ref="D39:R39">SUM(D40:D46)</f>
        <v>0</v>
      </c>
      <c r="E39" s="560">
        <f t="shared" si="21"/>
        <v>207</v>
      </c>
      <c r="F39" s="560">
        <f t="shared" si="21"/>
        <v>53.5157</v>
      </c>
      <c r="G39" s="560">
        <f t="shared" si="21"/>
        <v>0</v>
      </c>
      <c r="H39" s="560">
        <f t="shared" si="21"/>
        <v>53.5157</v>
      </c>
      <c r="I39" s="560">
        <f t="shared" si="21"/>
        <v>53.5157</v>
      </c>
      <c r="J39" s="560">
        <f t="shared" si="21"/>
        <v>0</v>
      </c>
      <c r="K39" s="560">
        <f t="shared" si="21"/>
        <v>0</v>
      </c>
      <c r="L39" s="560">
        <f t="shared" si="21"/>
        <v>53.5157</v>
      </c>
      <c r="M39" s="560">
        <f t="shared" si="21"/>
        <v>53.5157</v>
      </c>
      <c r="N39" s="560">
        <f t="shared" si="21"/>
        <v>0</v>
      </c>
      <c r="O39" s="560">
        <f t="shared" si="21"/>
        <v>0</v>
      </c>
      <c r="P39" s="560">
        <f t="shared" si="21"/>
        <v>0</v>
      </c>
      <c r="Q39" s="560">
        <f t="shared" si="21"/>
        <v>0</v>
      </c>
      <c r="R39" s="560">
        <f t="shared" si="21"/>
        <v>0</v>
      </c>
      <c r="S39" s="584">
        <f t="shared" si="5"/>
        <v>0.25852995169082127</v>
      </c>
      <c r="T39" s="584" t="e">
        <f t="shared" si="6"/>
        <v>#DIV/0!</v>
      </c>
      <c r="U39" s="584">
        <f t="shared" si="7"/>
        <v>0.25852995169082127</v>
      </c>
      <c r="V39" s="560"/>
      <c r="W39" s="596"/>
    </row>
    <row r="40" spans="1:23" s="238" customFormat="1" ht="18.75">
      <c r="A40" s="561" t="s">
        <v>748</v>
      </c>
      <c r="B40" s="562" t="s">
        <v>536</v>
      </c>
      <c r="C40" s="560">
        <f aca="true" t="shared" si="22" ref="C40:C46">D40+E40</f>
        <v>137</v>
      </c>
      <c r="D40" s="560"/>
      <c r="E40" s="560">
        <v>137</v>
      </c>
      <c r="F40" s="560">
        <f aca="true" t="shared" si="23" ref="F40:F46">G40+H40</f>
        <v>0</v>
      </c>
      <c r="G40" s="560">
        <f aca="true" t="shared" si="24" ref="G40:G46">J40+O40</f>
        <v>0</v>
      </c>
      <c r="H40" s="560">
        <f aca="true" t="shared" si="25" ref="H40:H46">L40+Q40</f>
        <v>0</v>
      </c>
      <c r="I40" s="560">
        <f aca="true" t="shared" si="26" ref="I40:I46">J40+L40</f>
        <v>0</v>
      </c>
      <c r="J40" s="560">
        <f aca="true" t="shared" si="27" ref="J40:J46">K40</f>
        <v>0</v>
      </c>
      <c r="K40" s="560"/>
      <c r="L40" s="560">
        <f aca="true" t="shared" si="28" ref="L40:L46">M40</f>
        <v>0</v>
      </c>
      <c r="M40" s="560"/>
      <c r="N40" s="560">
        <f aca="true" t="shared" si="29" ref="N40:N46">O40+Q40</f>
        <v>0</v>
      </c>
      <c r="O40" s="560">
        <f aca="true" t="shared" si="30" ref="O40:O46">P40</f>
        <v>0</v>
      </c>
      <c r="P40" s="560"/>
      <c r="Q40" s="560">
        <f aca="true" t="shared" si="31" ref="Q40:Q46">R40</f>
        <v>0</v>
      </c>
      <c r="R40" s="560"/>
      <c r="S40" s="584">
        <f t="shared" si="5"/>
        <v>0</v>
      </c>
      <c r="T40" s="584" t="e">
        <f t="shared" si="6"/>
        <v>#DIV/0!</v>
      </c>
      <c r="U40" s="584">
        <f t="shared" si="7"/>
        <v>0</v>
      </c>
      <c r="V40" s="560"/>
      <c r="W40" s="596"/>
    </row>
    <row r="41" spans="1:23" s="238" customFormat="1" ht="37.5">
      <c r="A41" s="561" t="s">
        <v>748</v>
      </c>
      <c r="B41" s="562" t="s">
        <v>540</v>
      </c>
      <c r="C41" s="560">
        <f t="shared" si="22"/>
        <v>20</v>
      </c>
      <c r="D41" s="560"/>
      <c r="E41" s="560">
        <v>20</v>
      </c>
      <c r="F41" s="560">
        <f t="shared" si="23"/>
        <v>8.5557</v>
      </c>
      <c r="G41" s="560">
        <f t="shared" si="24"/>
        <v>0</v>
      </c>
      <c r="H41" s="560">
        <f t="shared" si="25"/>
        <v>8.5557</v>
      </c>
      <c r="I41" s="560">
        <f t="shared" si="26"/>
        <v>8.5557</v>
      </c>
      <c r="J41" s="560">
        <f t="shared" si="27"/>
        <v>0</v>
      </c>
      <c r="K41" s="560"/>
      <c r="L41" s="560">
        <f t="shared" si="28"/>
        <v>8.5557</v>
      </c>
      <c r="M41" s="560">
        <v>8.5557</v>
      </c>
      <c r="N41" s="560">
        <f t="shared" si="29"/>
        <v>0</v>
      </c>
      <c r="O41" s="560">
        <f t="shared" si="30"/>
        <v>0</v>
      </c>
      <c r="P41" s="560"/>
      <c r="Q41" s="560">
        <f t="shared" si="31"/>
        <v>0</v>
      </c>
      <c r="R41" s="560"/>
      <c r="S41" s="584">
        <f t="shared" si="5"/>
        <v>0.42778499999999997</v>
      </c>
      <c r="T41" s="584" t="e">
        <f t="shared" si="6"/>
        <v>#DIV/0!</v>
      </c>
      <c r="U41" s="584">
        <f t="shared" si="7"/>
        <v>0.42778499999999997</v>
      </c>
      <c r="V41" s="560"/>
      <c r="W41" s="596"/>
    </row>
    <row r="42" spans="1:23" s="238" customFormat="1" ht="18.75">
      <c r="A42" s="561" t="s">
        <v>748</v>
      </c>
      <c r="B42" s="562" t="s">
        <v>739</v>
      </c>
      <c r="C42" s="560">
        <f t="shared" si="22"/>
        <v>10</v>
      </c>
      <c r="D42" s="560"/>
      <c r="E42" s="560">
        <v>10</v>
      </c>
      <c r="F42" s="560">
        <f t="shared" si="23"/>
        <v>10</v>
      </c>
      <c r="G42" s="560">
        <f t="shared" si="24"/>
        <v>0</v>
      </c>
      <c r="H42" s="560">
        <f t="shared" si="25"/>
        <v>10</v>
      </c>
      <c r="I42" s="560">
        <f t="shared" si="26"/>
        <v>10</v>
      </c>
      <c r="J42" s="560">
        <f t="shared" si="27"/>
        <v>0</v>
      </c>
      <c r="K42" s="560"/>
      <c r="L42" s="560">
        <f t="shared" si="28"/>
        <v>10</v>
      </c>
      <c r="M42" s="560">
        <v>10</v>
      </c>
      <c r="N42" s="560">
        <f t="shared" si="29"/>
        <v>0</v>
      </c>
      <c r="O42" s="560">
        <f t="shared" si="30"/>
        <v>0</v>
      </c>
      <c r="P42" s="560"/>
      <c r="Q42" s="560">
        <f t="shared" si="31"/>
        <v>0</v>
      </c>
      <c r="R42" s="560"/>
      <c r="S42" s="584">
        <f t="shared" si="5"/>
        <v>1</v>
      </c>
      <c r="T42" s="584" t="e">
        <f t="shared" si="6"/>
        <v>#DIV/0!</v>
      </c>
      <c r="U42" s="584">
        <f t="shared" si="7"/>
        <v>1</v>
      </c>
      <c r="V42" s="560"/>
      <c r="W42" s="596"/>
    </row>
    <row r="43" spans="1:23" s="238" customFormat="1" ht="18.75">
      <c r="A43" s="561" t="s">
        <v>748</v>
      </c>
      <c r="B43" s="562" t="s">
        <v>447</v>
      </c>
      <c r="C43" s="560">
        <f t="shared" si="22"/>
        <v>10</v>
      </c>
      <c r="D43" s="560"/>
      <c r="E43" s="560">
        <v>10</v>
      </c>
      <c r="F43" s="560">
        <f t="shared" si="23"/>
        <v>10</v>
      </c>
      <c r="G43" s="560">
        <f t="shared" si="24"/>
        <v>0</v>
      </c>
      <c r="H43" s="560">
        <f t="shared" si="25"/>
        <v>10</v>
      </c>
      <c r="I43" s="560">
        <f t="shared" si="26"/>
        <v>10</v>
      </c>
      <c r="J43" s="560">
        <f t="shared" si="27"/>
        <v>0</v>
      </c>
      <c r="K43" s="560"/>
      <c r="L43" s="560">
        <f t="shared" si="28"/>
        <v>10</v>
      </c>
      <c r="M43" s="560">
        <v>10</v>
      </c>
      <c r="N43" s="560">
        <f t="shared" si="29"/>
        <v>0</v>
      </c>
      <c r="O43" s="560">
        <f t="shared" si="30"/>
        <v>0</v>
      </c>
      <c r="P43" s="560"/>
      <c r="Q43" s="560">
        <f t="shared" si="31"/>
        <v>0</v>
      </c>
      <c r="R43" s="560"/>
      <c r="S43" s="584">
        <f t="shared" si="5"/>
        <v>1</v>
      </c>
      <c r="T43" s="584" t="e">
        <f t="shared" si="6"/>
        <v>#DIV/0!</v>
      </c>
      <c r="U43" s="584">
        <f t="shared" si="7"/>
        <v>1</v>
      </c>
      <c r="V43" s="560"/>
      <c r="W43" s="596"/>
    </row>
    <row r="44" spans="1:23" s="238" customFormat="1" ht="18.75">
      <c r="A44" s="561" t="s">
        <v>748</v>
      </c>
      <c r="B44" s="562" t="s">
        <v>563</v>
      </c>
      <c r="C44" s="560">
        <f t="shared" si="22"/>
        <v>10</v>
      </c>
      <c r="D44" s="560"/>
      <c r="E44" s="560">
        <v>10</v>
      </c>
      <c r="F44" s="560">
        <f t="shared" si="23"/>
        <v>4.96</v>
      </c>
      <c r="G44" s="560">
        <f t="shared" si="24"/>
        <v>0</v>
      </c>
      <c r="H44" s="560">
        <f t="shared" si="25"/>
        <v>4.96</v>
      </c>
      <c r="I44" s="560">
        <f t="shared" si="26"/>
        <v>4.96</v>
      </c>
      <c r="J44" s="560">
        <f t="shared" si="27"/>
        <v>0</v>
      </c>
      <c r="K44" s="560"/>
      <c r="L44" s="560">
        <f t="shared" si="28"/>
        <v>4.96</v>
      </c>
      <c r="M44" s="560">
        <v>4.96</v>
      </c>
      <c r="N44" s="560">
        <f t="shared" si="29"/>
        <v>0</v>
      </c>
      <c r="O44" s="560">
        <f t="shared" si="30"/>
        <v>0</v>
      </c>
      <c r="P44" s="560"/>
      <c r="Q44" s="560">
        <f t="shared" si="31"/>
        <v>0</v>
      </c>
      <c r="R44" s="560"/>
      <c r="S44" s="584">
        <f t="shared" si="5"/>
        <v>0.496</v>
      </c>
      <c r="T44" s="584" t="e">
        <f t="shared" si="6"/>
        <v>#DIV/0!</v>
      </c>
      <c r="U44" s="584">
        <f t="shared" si="7"/>
        <v>0.496</v>
      </c>
      <c r="V44" s="560"/>
      <c r="W44" s="596"/>
    </row>
    <row r="45" spans="1:23" s="238" customFormat="1" ht="18.75">
      <c r="A45" s="561" t="s">
        <v>748</v>
      </c>
      <c r="B45" s="562" t="s">
        <v>564</v>
      </c>
      <c r="C45" s="560">
        <f t="shared" si="22"/>
        <v>10</v>
      </c>
      <c r="D45" s="560"/>
      <c r="E45" s="560">
        <v>10</v>
      </c>
      <c r="F45" s="560">
        <f t="shared" si="23"/>
        <v>10</v>
      </c>
      <c r="G45" s="560">
        <f t="shared" si="24"/>
        <v>0</v>
      </c>
      <c r="H45" s="560">
        <f t="shared" si="25"/>
        <v>10</v>
      </c>
      <c r="I45" s="560">
        <f t="shared" si="26"/>
        <v>10</v>
      </c>
      <c r="J45" s="560">
        <f t="shared" si="27"/>
        <v>0</v>
      </c>
      <c r="K45" s="560"/>
      <c r="L45" s="560">
        <f t="shared" si="28"/>
        <v>10</v>
      </c>
      <c r="M45" s="560">
        <v>10</v>
      </c>
      <c r="N45" s="560">
        <f t="shared" si="29"/>
        <v>0</v>
      </c>
      <c r="O45" s="560">
        <f t="shared" si="30"/>
        <v>0</v>
      </c>
      <c r="P45" s="560"/>
      <c r="Q45" s="560">
        <f t="shared" si="31"/>
        <v>0</v>
      </c>
      <c r="R45" s="560"/>
      <c r="S45" s="584">
        <f t="shared" si="5"/>
        <v>1</v>
      </c>
      <c r="T45" s="584" t="e">
        <f t="shared" si="6"/>
        <v>#DIV/0!</v>
      </c>
      <c r="U45" s="584">
        <f t="shared" si="7"/>
        <v>1</v>
      </c>
      <c r="V45" s="560"/>
      <c r="W45" s="596"/>
    </row>
    <row r="46" spans="1:23" s="238" customFormat="1" ht="18.75">
      <c r="A46" s="561" t="s">
        <v>748</v>
      </c>
      <c r="B46" s="562" t="s">
        <v>565</v>
      </c>
      <c r="C46" s="560">
        <f t="shared" si="22"/>
        <v>10</v>
      </c>
      <c r="D46" s="560"/>
      <c r="E46" s="560">
        <v>10</v>
      </c>
      <c r="F46" s="560">
        <f t="shared" si="23"/>
        <v>10</v>
      </c>
      <c r="G46" s="560">
        <f t="shared" si="24"/>
        <v>0</v>
      </c>
      <c r="H46" s="560">
        <f t="shared" si="25"/>
        <v>10</v>
      </c>
      <c r="I46" s="560">
        <f t="shared" si="26"/>
        <v>10</v>
      </c>
      <c r="J46" s="560">
        <f t="shared" si="27"/>
        <v>0</v>
      </c>
      <c r="K46" s="560"/>
      <c r="L46" s="560">
        <f t="shared" si="28"/>
        <v>10</v>
      </c>
      <c r="M46" s="560">
        <v>10</v>
      </c>
      <c r="N46" s="560">
        <f t="shared" si="29"/>
        <v>0</v>
      </c>
      <c r="O46" s="560">
        <f t="shared" si="30"/>
        <v>0</v>
      </c>
      <c r="P46" s="560"/>
      <c r="Q46" s="560">
        <f t="shared" si="31"/>
        <v>0</v>
      </c>
      <c r="R46" s="560"/>
      <c r="S46" s="584">
        <f t="shared" si="5"/>
        <v>1</v>
      </c>
      <c r="T46" s="584" t="e">
        <f t="shared" si="6"/>
        <v>#DIV/0!</v>
      </c>
      <c r="U46" s="584">
        <f t="shared" si="7"/>
        <v>1</v>
      </c>
      <c r="V46" s="560"/>
      <c r="W46" s="596"/>
    </row>
    <row r="47" spans="1:23" s="236" customFormat="1" ht="56.25">
      <c r="A47" s="556" t="s">
        <v>40</v>
      </c>
      <c r="B47" s="564" t="s">
        <v>537</v>
      </c>
      <c r="C47" s="553">
        <f>C48+C50+C52+C54+C56+C59+C61</f>
        <v>20778</v>
      </c>
      <c r="D47" s="553">
        <f aca="true" t="shared" si="32" ref="D47:R47">D48+D50+D52+D54+D56+D59+D61</f>
        <v>19048</v>
      </c>
      <c r="E47" s="553">
        <f t="shared" si="32"/>
        <v>1730</v>
      </c>
      <c r="F47" s="553">
        <f t="shared" si="32"/>
        <v>55918.489499999996</v>
      </c>
      <c r="G47" s="553">
        <f t="shared" si="32"/>
        <v>53794.418</v>
      </c>
      <c r="H47" s="553">
        <f t="shared" si="32"/>
        <v>2124.0715</v>
      </c>
      <c r="I47" s="553">
        <f t="shared" si="32"/>
        <v>55918.489499999996</v>
      </c>
      <c r="J47" s="553">
        <f t="shared" si="32"/>
        <v>53794.418</v>
      </c>
      <c r="K47" s="553">
        <f t="shared" si="32"/>
        <v>53794.418</v>
      </c>
      <c r="L47" s="553">
        <f t="shared" si="32"/>
        <v>2124.0715</v>
      </c>
      <c r="M47" s="553">
        <f t="shared" si="32"/>
        <v>2124.0715</v>
      </c>
      <c r="N47" s="553">
        <f t="shared" si="32"/>
        <v>0</v>
      </c>
      <c r="O47" s="553">
        <f t="shared" si="32"/>
        <v>0</v>
      </c>
      <c r="P47" s="553">
        <f t="shared" si="32"/>
        <v>0</v>
      </c>
      <c r="Q47" s="553">
        <f t="shared" si="32"/>
        <v>0</v>
      </c>
      <c r="R47" s="553">
        <f t="shared" si="32"/>
        <v>0</v>
      </c>
      <c r="S47" s="584">
        <f t="shared" si="5"/>
        <v>2.691235417268264</v>
      </c>
      <c r="T47" s="584">
        <f t="shared" si="6"/>
        <v>2.8241504619907603</v>
      </c>
      <c r="U47" s="584">
        <f t="shared" si="7"/>
        <v>1.227786994219653</v>
      </c>
      <c r="V47" s="560"/>
      <c r="W47" s="597"/>
    </row>
    <row r="48" spans="1:23" s="238" customFormat="1" ht="131.25">
      <c r="A48" s="556">
        <v>1</v>
      </c>
      <c r="B48" s="557" t="s">
        <v>538</v>
      </c>
      <c r="C48" s="553">
        <f>C49</f>
        <v>0</v>
      </c>
      <c r="D48" s="553">
        <f aca="true" t="shared" si="33" ref="D48:R48">D49</f>
        <v>0</v>
      </c>
      <c r="E48" s="553">
        <f t="shared" si="33"/>
        <v>0</v>
      </c>
      <c r="F48" s="553">
        <f t="shared" si="33"/>
        <v>629.642</v>
      </c>
      <c r="G48" s="553">
        <f t="shared" si="33"/>
        <v>0</v>
      </c>
      <c r="H48" s="553">
        <f t="shared" si="33"/>
        <v>629.642</v>
      </c>
      <c r="I48" s="553">
        <f t="shared" si="33"/>
        <v>629.642</v>
      </c>
      <c r="J48" s="553">
        <f t="shared" si="33"/>
        <v>0</v>
      </c>
      <c r="K48" s="553">
        <f t="shared" si="33"/>
        <v>0</v>
      </c>
      <c r="L48" s="553">
        <f t="shared" si="33"/>
        <v>629.642</v>
      </c>
      <c r="M48" s="553">
        <f t="shared" si="33"/>
        <v>629.642</v>
      </c>
      <c r="N48" s="553">
        <f t="shared" si="33"/>
        <v>0</v>
      </c>
      <c r="O48" s="553">
        <f t="shared" si="33"/>
        <v>0</v>
      </c>
      <c r="P48" s="553">
        <f t="shared" si="33"/>
        <v>0</v>
      </c>
      <c r="Q48" s="553">
        <f t="shared" si="33"/>
        <v>0</v>
      </c>
      <c r="R48" s="553">
        <f t="shared" si="33"/>
        <v>0</v>
      </c>
      <c r="S48" s="584" t="e">
        <f t="shared" si="5"/>
        <v>#DIV/0!</v>
      </c>
      <c r="T48" s="584" t="e">
        <f t="shared" si="6"/>
        <v>#DIV/0!</v>
      </c>
      <c r="U48" s="584" t="e">
        <f t="shared" si="7"/>
        <v>#DIV/0!</v>
      </c>
      <c r="V48" s="560"/>
      <c r="W48" s="596"/>
    </row>
    <row r="49" spans="1:23" s="238" customFormat="1" ht="18.75">
      <c r="A49" s="563" t="s">
        <v>250</v>
      </c>
      <c r="B49" s="562" t="s">
        <v>297</v>
      </c>
      <c r="C49" s="560">
        <f>D49+E49</f>
        <v>0</v>
      </c>
      <c r="D49" s="560"/>
      <c r="E49" s="560"/>
      <c r="F49" s="560">
        <f>G49+H49</f>
        <v>629.642</v>
      </c>
      <c r="G49" s="560">
        <f>J49+O49</f>
        <v>0</v>
      </c>
      <c r="H49" s="560">
        <f>L49+Q49</f>
        <v>629.642</v>
      </c>
      <c r="I49" s="560">
        <f>J49+L49</f>
        <v>629.642</v>
      </c>
      <c r="J49" s="560">
        <f>K49</f>
        <v>0</v>
      </c>
      <c r="K49" s="560"/>
      <c r="L49" s="560">
        <f>M49</f>
        <v>629.642</v>
      </c>
      <c r="M49" s="560">
        <v>629.642</v>
      </c>
      <c r="N49" s="560">
        <f>O49+Q49</f>
        <v>0</v>
      </c>
      <c r="O49" s="560">
        <f>P49</f>
        <v>0</v>
      </c>
      <c r="P49" s="560"/>
      <c r="Q49" s="560">
        <f>R49</f>
        <v>0</v>
      </c>
      <c r="R49" s="560"/>
      <c r="S49" s="584" t="e">
        <f t="shared" si="5"/>
        <v>#DIV/0!</v>
      </c>
      <c r="T49" s="584" t="e">
        <f t="shared" si="6"/>
        <v>#DIV/0!</v>
      </c>
      <c r="U49" s="584" t="e">
        <f t="shared" si="7"/>
        <v>#DIV/0!</v>
      </c>
      <c r="V49" s="560"/>
      <c r="W49" s="596"/>
    </row>
    <row r="50" spans="1:23" s="238" customFormat="1" ht="112.5">
      <c r="A50" s="556">
        <v>2</v>
      </c>
      <c r="B50" s="557" t="s">
        <v>539</v>
      </c>
      <c r="C50" s="553">
        <f>C51</f>
        <v>19048</v>
      </c>
      <c r="D50" s="553">
        <f aca="true" t="shared" si="34" ref="D50:R50">D51</f>
        <v>19048</v>
      </c>
      <c r="E50" s="553">
        <f t="shared" si="34"/>
        <v>0</v>
      </c>
      <c r="F50" s="553">
        <f t="shared" si="34"/>
        <v>53794.418</v>
      </c>
      <c r="G50" s="553">
        <f t="shared" si="34"/>
        <v>53794.418</v>
      </c>
      <c r="H50" s="553">
        <f t="shared" si="34"/>
        <v>0</v>
      </c>
      <c r="I50" s="553">
        <f t="shared" si="34"/>
        <v>53794.418</v>
      </c>
      <c r="J50" s="553">
        <f t="shared" si="34"/>
        <v>53794.418</v>
      </c>
      <c r="K50" s="553">
        <f t="shared" si="34"/>
        <v>53794.418</v>
      </c>
      <c r="L50" s="553">
        <f t="shared" si="34"/>
        <v>0</v>
      </c>
      <c r="M50" s="553">
        <f t="shared" si="34"/>
        <v>0</v>
      </c>
      <c r="N50" s="553">
        <f t="shared" si="34"/>
        <v>0</v>
      </c>
      <c r="O50" s="553">
        <f t="shared" si="34"/>
        <v>0</v>
      </c>
      <c r="P50" s="553">
        <f t="shared" si="34"/>
        <v>0</v>
      </c>
      <c r="Q50" s="553">
        <f t="shared" si="34"/>
        <v>0</v>
      </c>
      <c r="R50" s="553">
        <f t="shared" si="34"/>
        <v>0</v>
      </c>
      <c r="S50" s="584">
        <f t="shared" si="5"/>
        <v>2.8241504619907603</v>
      </c>
      <c r="T50" s="584">
        <f t="shared" si="6"/>
        <v>2.8241504619907603</v>
      </c>
      <c r="U50" s="584" t="e">
        <f t="shared" si="7"/>
        <v>#DIV/0!</v>
      </c>
      <c r="V50" s="560"/>
      <c r="W50" s="596"/>
    </row>
    <row r="51" spans="1:23" s="238" customFormat="1" ht="37.5">
      <c r="A51" s="563" t="s">
        <v>252</v>
      </c>
      <c r="B51" s="562" t="s">
        <v>543</v>
      </c>
      <c r="C51" s="560">
        <f>D51+E51</f>
        <v>19048</v>
      </c>
      <c r="D51" s="560">
        <v>19048</v>
      </c>
      <c r="E51" s="560"/>
      <c r="F51" s="560">
        <f>G51+H51</f>
        <v>53794.418</v>
      </c>
      <c r="G51" s="560">
        <f>J51+O51</f>
        <v>53794.418</v>
      </c>
      <c r="H51" s="560">
        <f>L51+Q51</f>
        <v>0</v>
      </c>
      <c r="I51" s="560">
        <f>J51+L51</f>
        <v>53794.418</v>
      </c>
      <c r="J51" s="560">
        <f>K51</f>
        <v>53794.418</v>
      </c>
      <c r="K51" s="560">
        <v>53794.418</v>
      </c>
      <c r="L51" s="560">
        <f>M51</f>
        <v>0</v>
      </c>
      <c r="M51" s="560"/>
      <c r="N51" s="560">
        <f>O51+Q51</f>
        <v>0</v>
      </c>
      <c r="O51" s="560">
        <f>P51</f>
        <v>0</v>
      </c>
      <c r="P51" s="560"/>
      <c r="Q51" s="560">
        <f>R51</f>
        <v>0</v>
      </c>
      <c r="R51" s="560"/>
      <c r="S51" s="584">
        <f t="shared" si="5"/>
        <v>2.8241504619907603</v>
      </c>
      <c r="T51" s="584">
        <f t="shared" si="6"/>
        <v>2.8241504619907603</v>
      </c>
      <c r="U51" s="584" t="e">
        <f t="shared" si="7"/>
        <v>#DIV/0!</v>
      </c>
      <c r="V51" s="560"/>
      <c r="W51" s="596"/>
    </row>
    <row r="52" spans="1:23" s="238" customFormat="1" ht="118.5" customHeight="1">
      <c r="A52" s="556">
        <v>3</v>
      </c>
      <c r="B52" s="565" t="s">
        <v>734</v>
      </c>
      <c r="C52" s="553">
        <f>C53</f>
        <v>900</v>
      </c>
      <c r="D52" s="553">
        <f aca="true" t="shared" si="35" ref="D52:R52">D53</f>
        <v>0</v>
      </c>
      <c r="E52" s="553">
        <f t="shared" si="35"/>
        <v>900</v>
      </c>
      <c r="F52" s="553">
        <f t="shared" si="35"/>
        <v>181.414</v>
      </c>
      <c r="G52" s="553">
        <f t="shared" si="35"/>
        <v>0</v>
      </c>
      <c r="H52" s="553">
        <f t="shared" si="35"/>
        <v>181.414</v>
      </c>
      <c r="I52" s="553">
        <f t="shared" si="35"/>
        <v>181.414</v>
      </c>
      <c r="J52" s="553">
        <f t="shared" si="35"/>
        <v>0</v>
      </c>
      <c r="K52" s="553">
        <f t="shared" si="35"/>
        <v>0</v>
      </c>
      <c r="L52" s="553">
        <f t="shared" si="35"/>
        <v>181.414</v>
      </c>
      <c r="M52" s="553">
        <f t="shared" si="35"/>
        <v>181.414</v>
      </c>
      <c r="N52" s="553">
        <f t="shared" si="35"/>
        <v>0</v>
      </c>
      <c r="O52" s="553">
        <f t="shared" si="35"/>
        <v>0</v>
      </c>
      <c r="P52" s="553">
        <f t="shared" si="35"/>
        <v>0</v>
      </c>
      <c r="Q52" s="553">
        <f t="shared" si="35"/>
        <v>0</v>
      </c>
      <c r="R52" s="553">
        <f t="shared" si="35"/>
        <v>0</v>
      </c>
      <c r="S52" s="584">
        <f t="shared" si="5"/>
        <v>0.2015711111111111</v>
      </c>
      <c r="T52" s="584" t="e">
        <f t="shared" si="6"/>
        <v>#DIV/0!</v>
      </c>
      <c r="U52" s="584">
        <f t="shared" si="7"/>
        <v>0.2015711111111111</v>
      </c>
      <c r="V52" s="560"/>
      <c r="W52" s="596"/>
    </row>
    <row r="53" spans="1:23" s="238" customFormat="1" ht="37.5">
      <c r="A53" s="563" t="s">
        <v>258</v>
      </c>
      <c r="B53" s="562" t="s">
        <v>540</v>
      </c>
      <c r="C53" s="560">
        <f>D53+E53</f>
        <v>900</v>
      </c>
      <c r="D53" s="560"/>
      <c r="E53" s="560">
        <v>900</v>
      </c>
      <c r="F53" s="560">
        <f>G53+H53</f>
        <v>181.414</v>
      </c>
      <c r="G53" s="560">
        <f>J53+O53</f>
        <v>0</v>
      </c>
      <c r="H53" s="560">
        <f>L53+Q53</f>
        <v>181.414</v>
      </c>
      <c r="I53" s="560">
        <f>J53+L53</f>
        <v>181.414</v>
      </c>
      <c r="J53" s="560">
        <f>K53</f>
        <v>0</v>
      </c>
      <c r="K53" s="560"/>
      <c r="L53" s="560">
        <f>M53</f>
        <v>181.414</v>
      </c>
      <c r="M53" s="560">
        <v>181.414</v>
      </c>
      <c r="N53" s="560">
        <f>O53+Q53</f>
        <v>0</v>
      </c>
      <c r="O53" s="560">
        <f>P53</f>
        <v>0</v>
      </c>
      <c r="P53" s="560"/>
      <c r="Q53" s="560">
        <f>R53</f>
        <v>0</v>
      </c>
      <c r="R53" s="560"/>
      <c r="S53" s="584">
        <f t="shared" si="5"/>
        <v>0.2015711111111111</v>
      </c>
      <c r="T53" s="584" t="e">
        <f t="shared" si="6"/>
        <v>#DIV/0!</v>
      </c>
      <c r="U53" s="584">
        <f t="shared" si="7"/>
        <v>0.2015711111111111</v>
      </c>
      <c r="V53" s="560"/>
      <c r="W53" s="596"/>
    </row>
    <row r="54" spans="1:23" s="238" customFormat="1" ht="150">
      <c r="A54" s="556">
        <v>4</v>
      </c>
      <c r="B54" s="565" t="s">
        <v>736</v>
      </c>
      <c r="C54" s="553">
        <f>C55</f>
        <v>0</v>
      </c>
      <c r="D54" s="553">
        <f aca="true" t="shared" si="36" ref="D54:R54">D55</f>
        <v>0</v>
      </c>
      <c r="E54" s="553">
        <f t="shared" si="36"/>
        <v>0</v>
      </c>
      <c r="F54" s="553">
        <f t="shared" si="36"/>
        <v>199.796</v>
      </c>
      <c r="G54" s="553">
        <f t="shared" si="36"/>
        <v>0</v>
      </c>
      <c r="H54" s="553">
        <f t="shared" si="36"/>
        <v>199.796</v>
      </c>
      <c r="I54" s="553">
        <f t="shared" si="36"/>
        <v>199.796</v>
      </c>
      <c r="J54" s="553">
        <f t="shared" si="36"/>
        <v>0</v>
      </c>
      <c r="K54" s="553">
        <f t="shared" si="36"/>
        <v>0</v>
      </c>
      <c r="L54" s="553">
        <f t="shared" si="36"/>
        <v>199.796</v>
      </c>
      <c r="M54" s="553">
        <f t="shared" si="36"/>
        <v>199.796</v>
      </c>
      <c r="N54" s="553">
        <f t="shared" si="36"/>
        <v>0</v>
      </c>
      <c r="O54" s="553">
        <f t="shared" si="36"/>
        <v>0</v>
      </c>
      <c r="P54" s="553">
        <f t="shared" si="36"/>
        <v>0</v>
      </c>
      <c r="Q54" s="553">
        <f t="shared" si="36"/>
        <v>0</v>
      </c>
      <c r="R54" s="553">
        <f t="shared" si="36"/>
        <v>0</v>
      </c>
      <c r="S54" s="584" t="e">
        <f t="shared" si="5"/>
        <v>#DIV/0!</v>
      </c>
      <c r="T54" s="584" t="e">
        <f t="shared" si="6"/>
        <v>#DIV/0!</v>
      </c>
      <c r="U54" s="584" t="e">
        <f t="shared" si="7"/>
        <v>#DIV/0!</v>
      </c>
      <c r="V54" s="560"/>
      <c r="W54" s="596"/>
    </row>
    <row r="55" spans="1:23" s="238" customFormat="1" ht="18.75">
      <c r="A55" s="563"/>
      <c r="B55" s="558" t="s">
        <v>452</v>
      </c>
      <c r="C55" s="560">
        <f>D55+E55</f>
        <v>0</v>
      </c>
      <c r="D55" s="560"/>
      <c r="E55" s="560"/>
      <c r="F55" s="560">
        <f>G55+H55</f>
        <v>199.796</v>
      </c>
      <c r="G55" s="560">
        <f>J55+O55</f>
        <v>0</v>
      </c>
      <c r="H55" s="560">
        <f>L55+Q55</f>
        <v>199.796</v>
      </c>
      <c r="I55" s="560">
        <f>J55+L55</f>
        <v>199.796</v>
      </c>
      <c r="J55" s="560">
        <f>K55</f>
        <v>0</v>
      </c>
      <c r="K55" s="560"/>
      <c r="L55" s="560">
        <f>M55</f>
        <v>199.796</v>
      </c>
      <c r="M55" s="560">
        <v>199.796</v>
      </c>
      <c r="N55" s="560">
        <f>O55+Q55</f>
        <v>0</v>
      </c>
      <c r="O55" s="560">
        <f>P55</f>
        <v>0</v>
      </c>
      <c r="P55" s="560"/>
      <c r="Q55" s="560">
        <f>R55</f>
        <v>0</v>
      </c>
      <c r="R55" s="560"/>
      <c r="S55" s="584" t="e">
        <f t="shared" si="5"/>
        <v>#DIV/0!</v>
      </c>
      <c r="T55" s="584" t="e">
        <f t="shared" si="6"/>
        <v>#DIV/0!</v>
      </c>
      <c r="U55" s="584" t="e">
        <f t="shared" si="7"/>
        <v>#DIV/0!</v>
      </c>
      <c r="V55" s="560"/>
      <c r="W55" s="596"/>
    </row>
    <row r="56" spans="1:23" s="238" customFormat="1" ht="150">
      <c r="A56" s="556">
        <v>5</v>
      </c>
      <c r="B56" s="565" t="s">
        <v>737</v>
      </c>
      <c r="C56" s="553">
        <f>C57+C58</f>
        <v>100</v>
      </c>
      <c r="D56" s="553">
        <f aca="true" t="shared" si="37" ref="D56:R56">D57+D58</f>
        <v>0</v>
      </c>
      <c r="E56" s="553">
        <f t="shared" si="37"/>
        <v>100</v>
      </c>
      <c r="F56" s="553">
        <f t="shared" si="37"/>
        <v>208.934</v>
      </c>
      <c r="G56" s="553">
        <f t="shared" si="37"/>
        <v>0</v>
      </c>
      <c r="H56" s="553">
        <f t="shared" si="37"/>
        <v>208.934</v>
      </c>
      <c r="I56" s="553">
        <f t="shared" si="37"/>
        <v>208.934</v>
      </c>
      <c r="J56" s="553">
        <f t="shared" si="37"/>
        <v>0</v>
      </c>
      <c r="K56" s="553">
        <f t="shared" si="37"/>
        <v>0</v>
      </c>
      <c r="L56" s="553">
        <f t="shared" si="37"/>
        <v>208.934</v>
      </c>
      <c r="M56" s="553">
        <f t="shared" si="37"/>
        <v>208.934</v>
      </c>
      <c r="N56" s="553">
        <f t="shared" si="37"/>
        <v>0</v>
      </c>
      <c r="O56" s="553">
        <f t="shared" si="37"/>
        <v>0</v>
      </c>
      <c r="P56" s="553">
        <f t="shared" si="37"/>
        <v>0</v>
      </c>
      <c r="Q56" s="553">
        <f t="shared" si="37"/>
        <v>0</v>
      </c>
      <c r="R56" s="553">
        <f t="shared" si="37"/>
        <v>0</v>
      </c>
      <c r="S56" s="584">
        <f t="shared" si="5"/>
        <v>2.08934</v>
      </c>
      <c r="T56" s="584" t="e">
        <f t="shared" si="6"/>
        <v>#DIV/0!</v>
      </c>
      <c r="U56" s="584">
        <f t="shared" si="7"/>
        <v>2.08934</v>
      </c>
      <c r="V56" s="560"/>
      <c r="W56" s="596"/>
    </row>
    <row r="57" spans="1:23" s="238" customFormat="1" ht="37.5">
      <c r="A57" s="563"/>
      <c r="B57" s="562" t="s">
        <v>540</v>
      </c>
      <c r="C57" s="560">
        <f>D57+E57</f>
        <v>100</v>
      </c>
      <c r="D57" s="560"/>
      <c r="E57" s="560">
        <v>100</v>
      </c>
      <c r="F57" s="560">
        <f>G57+H57</f>
        <v>93</v>
      </c>
      <c r="G57" s="560">
        <f>J57+O57</f>
        <v>0</v>
      </c>
      <c r="H57" s="560">
        <f>L57+Q57</f>
        <v>93</v>
      </c>
      <c r="I57" s="560">
        <f>J57+L57</f>
        <v>93</v>
      </c>
      <c r="J57" s="560">
        <f>K57</f>
        <v>0</v>
      </c>
      <c r="K57" s="560"/>
      <c r="L57" s="560">
        <f>M57</f>
        <v>93</v>
      </c>
      <c r="M57" s="560">
        <v>93</v>
      </c>
      <c r="N57" s="560">
        <f>O57+Q57</f>
        <v>0</v>
      </c>
      <c r="O57" s="560">
        <f>P57</f>
        <v>0</v>
      </c>
      <c r="P57" s="560"/>
      <c r="Q57" s="560">
        <f>R57</f>
        <v>0</v>
      </c>
      <c r="R57" s="560"/>
      <c r="S57" s="584">
        <f t="shared" si="5"/>
        <v>0.93</v>
      </c>
      <c r="T57" s="584" t="e">
        <f t="shared" si="6"/>
        <v>#DIV/0!</v>
      </c>
      <c r="U57" s="584">
        <f t="shared" si="7"/>
        <v>0.93</v>
      </c>
      <c r="V57" s="560"/>
      <c r="W57" s="596"/>
    </row>
    <row r="58" spans="1:23" s="238" customFormat="1" ht="37.5">
      <c r="A58" s="563"/>
      <c r="B58" s="562" t="s">
        <v>0</v>
      </c>
      <c r="C58" s="560">
        <f>D58+E58</f>
        <v>0</v>
      </c>
      <c r="D58" s="560"/>
      <c r="E58" s="560"/>
      <c r="F58" s="560">
        <f>G58+H58</f>
        <v>115.934</v>
      </c>
      <c r="G58" s="560">
        <f>J58+O58</f>
        <v>0</v>
      </c>
      <c r="H58" s="560">
        <f>L58+Q58</f>
        <v>115.934</v>
      </c>
      <c r="I58" s="560">
        <f>J58+L58</f>
        <v>115.934</v>
      </c>
      <c r="J58" s="560">
        <f>K58</f>
        <v>0</v>
      </c>
      <c r="K58" s="560"/>
      <c r="L58" s="560">
        <f>M58</f>
        <v>115.934</v>
      </c>
      <c r="M58" s="560">
        <v>115.934</v>
      </c>
      <c r="N58" s="560">
        <f>O58+Q58</f>
        <v>0</v>
      </c>
      <c r="O58" s="560">
        <f>P58</f>
        <v>0</v>
      </c>
      <c r="P58" s="560"/>
      <c r="Q58" s="560">
        <f>R58</f>
        <v>0</v>
      </c>
      <c r="R58" s="560"/>
      <c r="S58" s="584" t="e">
        <f t="shared" si="5"/>
        <v>#DIV/0!</v>
      </c>
      <c r="T58" s="584" t="e">
        <f t="shared" si="6"/>
        <v>#DIV/0!</v>
      </c>
      <c r="U58" s="584" t="e">
        <f t="shared" si="7"/>
        <v>#DIV/0!</v>
      </c>
      <c r="V58" s="560"/>
      <c r="W58" s="596"/>
    </row>
    <row r="59" spans="1:23" s="238" customFormat="1" ht="318.75">
      <c r="A59" s="556">
        <v>6</v>
      </c>
      <c r="B59" s="565" t="s">
        <v>738</v>
      </c>
      <c r="C59" s="553">
        <f>C60</f>
        <v>0</v>
      </c>
      <c r="D59" s="553">
        <f aca="true" t="shared" si="38" ref="D59:R59">D60</f>
        <v>0</v>
      </c>
      <c r="E59" s="553">
        <f t="shared" si="38"/>
        <v>0</v>
      </c>
      <c r="F59" s="553">
        <f t="shared" si="38"/>
        <v>389.018</v>
      </c>
      <c r="G59" s="553">
        <f t="shared" si="38"/>
        <v>0</v>
      </c>
      <c r="H59" s="553">
        <f t="shared" si="38"/>
        <v>389.018</v>
      </c>
      <c r="I59" s="553">
        <f t="shared" si="38"/>
        <v>389.018</v>
      </c>
      <c r="J59" s="553">
        <f t="shared" si="38"/>
        <v>0</v>
      </c>
      <c r="K59" s="553">
        <f t="shared" si="38"/>
        <v>0</v>
      </c>
      <c r="L59" s="553">
        <f t="shared" si="38"/>
        <v>389.018</v>
      </c>
      <c r="M59" s="553">
        <f t="shared" si="38"/>
        <v>389.018</v>
      </c>
      <c r="N59" s="553">
        <f t="shared" si="38"/>
        <v>0</v>
      </c>
      <c r="O59" s="553">
        <f t="shared" si="38"/>
        <v>0</v>
      </c>
      <c r="P59" s="553">
        <f t="shared" si="38"/>
        <v>0</v>
      </c>
      <c r="Q59" s="553">
        <f t="shared" si="38"/>
        <v>0</v>
      </c>
      <c r="R59" s="553">
        <f t="shared" si="38"/>
        <v>0</v>
      </c>
      <c r="S59" s="584" t="e">
        <f t="shared" si="5"/>
        <v>#DIV/0!</v>
      </c>
      <c r="T59" s="584" t="e">
        <f t="shared" si="6"/>
        <v>#DIV/0!</v>
      </c>
      <c r="U59" s="584" t="e">
        <f t="shared" si="7"/>
        <v>#DIV/0!</v>
      </c>
      <c r="V59" s="560"/>
      <c r="W59" s="596"/>
    </row>
    <row r="60" spans="1:23" s="238" customFormat="1" ht="18.75">
      <c r="A60" s="563"/>
      <c r="B60" s="558" t="s">
        <v>452</v>
      </c>
      <c r="C60" s="560">
        <f>D60+E60</f>
        <v>0</v>
      </c>
      <c r="D60" s="560"/>
      <c r="E60" s="560"/>
      <c r="F60" s="560">
        <f>G60+H60</f>
        <v>389.018</v>
      </c>
      <c r="G60" s="560">
        <f>J60+O60</f>
        <v>0</v>
      </c>
      <c r="H60" s="560">
        <f>L60+Q60</f>
        <v>389.018</v>
      </c>
      <c r="I60" s="560">
        <f>J60+L60</f>
        <v>389.018</v>
      </c>
      <c r="J60" s="560">
        <f>K60</f>
        <v>0</v>
      </c>
      <c r="K60" s="560"/>
      <c r="L60" s="560">
        <f>M60</f>
        <v>389.018</v>
      </c>
      <c r="M60" s="560">
        <v>389.018</v>
      </c>
      <c r="N60" s="560">
        <f>O60+Q60</f>
        <v>0</v>
      </c>
      <c r="O60" s="560">
        <f>P60</f>
        <v>0</v>
      </c>
      <c r="P60" s="560"/>
      <c r="Q60" s="560">
        <f>R60</f>
        <v>0</v>
      </c>
      <c r="R60" s="560"/>
      <c r="S60" s="584" t="e">
        <f t="shared" si="5"/>
        <v>#DIV/0!</v>
      </c>
      <c r="T60" s="584" t="e">
        <f t="shared" si="6"/>
        <v>#DIV/0!</v>
      </c>
      <c r="U60" s="584" t="e">
        <f t="shared" si="7"/>
        <v>#DIV/0!</v>
      </c>
      <c r="V60" s="560"/>
      <c r="W60" s="596"/>
    </row>
    <row r="61" spans="1:23" s="238" customFormat="1" ht="168.75">
      <c r="A61" s="563">
        <v>7</v>
      </c>
      <c r="B61" s="565" t="s">
        <v>541</v>
      </c>
      <c r="C61" s="553">
        <f>SUM(C62:C63)</f>
        <v>730</v>
      </c>
      <c r="D61" s="553">
        <f aca="true" t="shared" si="39" ref="D61:R61">SUM(D62:D63)</f>
        <v>0</v>
      </c>
      <c r="E61" s="553">
        <f t="shared" si="39"/>
        <v>730</v>
      </c>
      <c r="F61" s="553">
        <f t="shared" si="39"/>
        <v>515.2674999999999</v>
      </c>
      <c r="G61" s="553">
        <f t="shared" si="39"/>
        <v>0</v>
      </c>
      <c r="H61" s="553">
        <f t="shared" si="39"/>
        <v>515.2674999999999</v>
      </c>
      <c r="I61" s="553">
        <f t="shared" si="39"/>
        <v>515.2674999999999</v>
      </c>
      <c r="J61" s="553">
        <f t="shared" si="39"/>
        <v>0</v>
      </c>
      <c r="K61" s="553">
        <f t="shared" si="39"/>
        <v>0</v>
      </c>
      <c r="L61" s="553">
        <f t="shared" si="39"/>
        <v>515.2674999999999</v>
      </c>
      <c r="M61" s="553">
        <f t="shared" si="39"/>
        <v>515.2674999999999</v>
      </c>
      <c r="N61" s="553">
        <f t="shared" si="39"/>
        <v>0</v>
      </c>
      <c r="O61" s="553">
        <f t="shared" si="39"/>
        <v>0</v>
      </c>
      <c r="P61" s="553">
        <f t="shared" si="39"/>
        <v>0</v>
      </c>
      <c r="Q61" s="553">
        <f t="shared" si="39"/>
        <v>0</v>
      </c>
      <c r="R61" s="553">
        <f t="shared" si="39"/>
        <v>0</v>
      </c>
      <c r="S61" s="584">
        <f t="shared" si="5"/>
        <v>0.7058458904109588</v>
      </c>
      <c r="T61" s="584" t="e">
        <f t="shared" si="6"/>
        <v>#DIV/0!</v>
      </c>
      <c r="U61" s="584">
        <f t="shared" si="7"/>
        <v>0.7058458904109588</v>
      </c>
      <c r="V61" s="560"/>
      <c r="W61" s="596"/>
    </row>
    <row r="62" spans="1:23" s="238" customFormat="1" ht="37.5">
      <c r="A62" s="563"/>
      <c r="B62" s="562" t="s">
        <v>542</v>
      </c>
      <c r="C62" s="560">
        <f>D62+E62</f>
        <v>150</v>
      </c>
      <c r="D62" s="560"/>
      <c r="E62" s="560">
        <v>150</v>
      </c>
      <c r="F62" s="560">
        <f>G62+H62</f>
        <v>149.921</v>
      </c>
      <c r="G62" s="560">
        <f>J62+O62</f>
        <v>0</v>
      </c>
      <c r="H62" s="560">
        <f>L62+Q62</f>
        <v>149.921</v>
      </c>
      <c r="I62" s="560">
        <f>J62+L62</f>
        <v>149.921</v>
      </c>
      <c r="J62" s="560">
        <f>K62</f>
        <v>0</v>
      </c>
      <c r="K62" s="560"/>
      <c r="L62" s="560">
        <f>M62</f>
        <v>149.921</v>
      </c>
      <c r="M62" s="560">
        <v>149.921</v>
      </c>
      <c r="N62" s="560">
        <f>O62+Q62</f>
        <v>0</v>
      </c>
      <c r="O62" s="560">
        <f>P62</f>
        <v>0</v>
      </c>
      <c r="P62" s="560"/>
      <c r="Q62" s="560">
        <f>R62</f>
        <v>0</v>
      </c>
      <c r="R62" s="560"/>
      <c r="S62" s="584">
        <f t="shared" si="5"/>
        <v>0.9994733333333333</v>
      </c>
      <c r="T62" s="584" t="e">
        <f t="shared" si="6"/>
        <v>#DIV/0!</v>
      </c>
      <c r="U62" s="584">
        <f t="shared" si="7"/>
        <v>0.9994733333333333</v>
      </c>
      <c r="V62" s="560"/>
      <c r="W62" s="596"/>
    </row>
    <row r="63" spans="1:23" s="238" customFormat="1" ht="18.75">
      <c r="A63" s="563"/>
      <c r="B63" s="558" t="s">
        <v>452</v>
      </c>
      <c r="C63" s="560">
        <f>D63+E63</f>
        <v>580</v>
      </c>
      <c r="D63" s="560"/>
      <c r="E63" s="560">
        <f>200+380</f>
        <v>580</v>
      </c>
      <c r="F63" s="560">
        <f>G63+H63</f>
        <v>365.3465</v>
      </c>
      <c r="G63" s="560">
        <f>J63+O63</f>
        <v>0</v>
      </c>
      <c r="H63" s="560">
        <f>L63+Q63</f>
        <v>365.3465</v>
      </c>
      <c r="I63" s="560">
        <f>J63+L63</f>
        <v>365.3465</v>
      </c>
      <c r="J63" s="560">
        <f>K63</f>
        <v>0</v>
      </c>
      <c r="K63" s="560"/>
      <c r="L63" s="560">
        <f>M63</f>
        <v>365.3465</v>
      </c>
      <c r="M63" s="560">
        <v>365.3465</v>
      </c>
      <c r="N63" s="560">
        <f>O63+Q63</f>
        <v>0</v>
      </c>
      <c r="O63" s="560">
        <f>P63</f>
        <v>0</v>
      </c>
      <c r="P63" s="560"/>
      <c r="Q63" s="560">
        <f>R63</f>
        <v>0</v>
      </c>
      <c r="R63" s="560"/>
      <c r="S63" s="584">
        <f t="shared" si="5"/>
        <v>0.6299077586206896</v>
      </c>
      <c r="T63" s="584" t="e">
        <f t="shared" si="6"/>
        <v>#DIV/0!</v>
      </c>
      <c r="U63" s="584">
        <f t="shared" si="7"/>
        <v>0.6299077586206896</v>
      </c>
      <c r="V63" s="560"/>
      <c r="W63" s="596"/>
    </row>
    <row r="64" spans="1:23" s="236" customFormat="1" ht="112.5">
      <c r="A64" s="556" t="s">
        <v>44</v>
      </c>
      <c r="B64" s="565" t="s">
        <v>585</v>
      </c>
      <c r="C64" s="553">
        <f aca="true" t="shared" si="40" ref="C64:R64">C65+C67+C78+C81+C83+C86+C88</f>
        <v>45558.02</v>
      </c>
      <c r="D64" s="553">
        <f t="shared" si="40"/>
        <v>28179</v>
      </c>
      <c r="E64" s="553">
        <f t="shared" si="40"/>
        <v>17379.02</v>
      </c>
      <c r="F64" s="553">
        <f t="shared" si="40"/>
        <v>54552.2717</v>
      </c>
      <c r="G64" s="553">
        <f t="shared" si="40"/>
        <v>48181.543000000005</v>
      </c>
      <c r="H64" s="553">
        <f t="shared" si="40"/>
        <v>6370.728699999999</v>
      </c>
      <c r="I64" s="553">
        <f t="shared" si="40"/>
        <v>54552.2717</v>
      </c>
      <c r="J64" s="553">
        <f t="shared" si="40"/>
        <v>48181.543000000005</v>
      </c>
      <c r="K64" s="553">
        <f t="shared" si="40"/>
        <v>48181.543000000005</v>
      </c>
      <c r="L64" s="553">
        <f t="shared" si="40"/>
        <v>6370.728699999999</v>
      </c>
      <c r="M64" s="553">
        <f t="shared" si="40"/>
        <v>6370.728699999999</v>
      </c>
      <c r="N64" s="553">
        <f t="shared" si="40"/>
        <v>0</v>
      </c>
      <c r="O64" s="553">
        <f t="shared" si="40"/>
        <v>0</v>
      </c>
      <c r="P64" s="553">
        <f t="shared" si="40"/>
        <v>0</v>
      </c>
      <c r="Q64" s="553">
        <f t="shared" si="40"/>
        <v>0</v>
      </c>
      <c r="R64" s="553">
        <f t="shared" si="40"/>
        <v>0</v>
      </c>
      <c r="S64" s="584">
        <f t="shared" si="5"/>
        <v>1.1974241132516295</v>
      </c>
      <c r="T64" s="584">
        <f t="shared" si="6"/>
        <v>1.7098386387025801</v>
      </c>
      <c r="U64" s="584">
        <f t="shared" si="7"/>
        <v>0.3665758310882891</v>
      </c>
      <c r="V64" s="560"/>
      <c r="W64" s="597"/>
    </row>
    <row r="65" spans="1:23" s="238" customFormat="1" ht="131.25">
      <c r="A65" s="556">
        <v>1</v>
      </c>
      <c r="B65" s="565" t="s">
        <v>572</v>
      </c>
      <c r="C65" s="553">
        <f>C66</f>
        <v>22197</v>
      </c>
      <c r="D65" s="553">
        <f aca="true" t="shared" si="41" ref="D65:R65">D66</f>
        <v>22197</v>
      </c>
      <c r="E65" s="553">
        <f t="shared" si="41"/>
        <v>0</v>
      </c>
      <c r="F65" s="553">
        <f t="shared" si="41"/>
        <v>48181.543000000005</v>
      </c>
      <c r="G65" s="553">
        <f t="shared" si="41"/>
        <v>48181.543000000005</v>
      </c>
      <c r="H65" s="553">
        <f t="shared" si="41"/>
        <v>0</v>
      </c>
      <c r="I65" s="553">
        <f t="shared" si="41"/>
        <v>48181.543000000005</v>
      </c>
      <c r="J65" s="553">
        <f t="shared" si="41"/>
        <v>48181.543000000005</v>
      </c>
      <c r="K65" s="553">
        <f t="shared" si="41"/>
        <v>48181.543000000005</v>
      </c>
      <c r="L65" s="553">
        <f t="shared" si="41"/>
        <v>0</v>
      </c>
      <c r="M65" s="553">
        <f t="shared" si="41"/>
        <v>0</v>
      </c>
      <c r="N65" s="553">
        <f t="shared" si="41"/>
        <v>0</v>
      </c>
      <c r="O65" s="553">
        <f t="shared" si="41"/>
        <v>0</v>
      </c>
      <c r="P65" s="553">
        <f t="shared" si="41"/>
        <v>0</v>
      </c>
      <c r="Q65" s="553">
        <f t="shared" si="41"/>
        <v>0</v>
      </c>
      <c r="R65" s="553">
        <f t="shared" si="41"/>
        <v>0</v>
      </c>
      <c r="S65" s="584">
        <f t="shared" si="5"/>
        <v>2.170633103572555</v>
      </c>
      <c r="T65" s="584">
        <f t="shared" si="6"/>
        <v>2.170633103572555</v>
      </c>
      <c r="U65" s="584" t="e">
        <f t="shared" si="7"/>
        <v>#DIV/0!</v>
      </c>
      <c r="V65" s="560"/>
      <c r="W65" s="596"/>
    </row>
    <row r="66" spans="1:23" s="238" customFormat="1" ht="37.5">
      <c r="A66" s="563"/>
      <c r="B66" s="562" t="s">
        <v>543</v>
      </c>
      <c r="C66" s="560">
        <f>D66+E66</f>
        <v>22197</v>
      </c>
      <c r="D66" s="560">
        <f>2144+1948+2515+1310+2888+3938+3956+2332+1166</f>
        <v>22197</v>
      </c>
      <c r="E66" s="560"/>
      <c r="F66" s="560">
        <f>G66+H66</f>
        <v>48181.543000000005</v>
      </c>
      <c r="G66" s="560">
        <f>J66+O66</f>
        <v>48181.543000000005</v>
      </c>
      <c r="H66" s="560">
        <f>L66+Q66</f>
        <v>0</v>
      </c>
      <c r="I66" s="560">
        <f>J66+L66</f>
        <v>48181.543000000005</v>
      </c>
      <c r="J66" s="560">
        <f>K66</f>
        <v>48181.543000000005</v>
      </c>
      <c r="K66" s="560">
        <v>48181.543000000005</v>
      </c>
      <c r="L66" s="560">
        <f>M66</f>
        <v>0</v>
      </c>
      <c r="M66" s="560"/>
      <c r="N66" s="560">
        <f>O66+Q66</f>
        <v>0</v>
      </c>
      <c r="O66" s="560">
        <f>P66</f>
        <v>0</v>
      </c>
      <c r="P66" s="560"/>
      <c r="Q66" s="560">
        <f>R66</f>
        <v>0</v>
      </c>
      <c r="R66" s="560"/>
      <c r="S66" s="584">
        <f t="shared" si="5"/>
        <v>2.170633103572555</v>
      </c>
      <c r="T66" s="584">
        <f t="shared" si="6"/>
        <v>2.170633103572555</v>
      </c>
      <c r="U66" s="584" t="e">
        <f t="shared" si="7"/>
        <v>#DIV/0!</v>
      </c>
      <c r="V66" s="560"/>
      <c r="W66" s="596"/>
    </row>
    <row r="67" spans="1:23" s="238" customFormat="1" ht="75">
      <c r="A67" s="556">
        <v>2</v>
      </c>
      <c r="B67" s="565" t="s">
        <v>573</v>
      </c>
      <c r="C67" s="553">
        <f aca="true" t="shared" si="42" ref="C67:R67">C68+C72+C75</f>
        <v>16516</v>
      </c>
      <c r="D67" s="553">
        <f t="shared" si="42"/>
        <v>5982</v>
      </c>
      <c r="E67" s="553">
        <f t="shared" si="42"/>
        <v>10534</v>
      </c>
      <c r="F67" s="553">
        <f t="shared" si="42"/>
        <v>2097.4714999999997</v>
      </c>
      <c r="G67" s="553">
        <f t="shared" si="42"/>
        <v>0</v>
      </c>
      <c r="H67" s="553">
        <f t="shared" si="42"/>
        <v>2097.4714999999997</v>
      </c>
      <c r="I67" s="553">
        <f t="shared" si="42"/>
        <v>2097.4714999999997</v>
      </c>
      <c r="J67" s="553">
        <f t="shared" si="42"/>
        <v>0</v>
      </c>
      <c r="K67" s="553">
        <f t="shared" si="42"/>
        <v>0</v>
      </c>
      <c r="L67" s="553">
        <f t="shared" si="42"/>
        <v>2097.4714999999997</v>
      </c>
      <c r="M67" s="553">
        <f t="shared" si="42"/>
        <v>2097.4714999999997</v>
      </c>
      <c r="N67" s="553">
        <f t="shared" si="42"/>
        <v>0</v>
      </c>
      <c r="O67" s="553">
        <f t="shared" si="42"/>
        <v>0</v>
      </c>
      <c r="P67" s="553">
        <f t="shared" si="42"/>
        <v>0</v>
      </c>
      <c r="Q67" s="553">
        <f t="shared" si="42"/>
        <v>0</v>
      </c>
      <c r="R67" s="553">
        <f t="shared" si="42"/>
        <v>0</v>
      </c>
      <c r="S67" s="584">
        <f t="shared" si="5"/>
        <v>0.1269963368854444</v>
      </c>
      <c r="T67" s="584">
        <f t="shared" si="6"/>
        <v>0</v>
      </c>
      <c r="U67" s="584">
        <f t="shared" si="7"/>
        <v>0.1991144389595595</v>
      </c>
      <c r="V67" s="560"/>
      <c r="W67" s="596"/>
    </row>
    <row r="68" spans="1:23" s="238" customFormat="1" ht="150">
      <c r="A68" s="563" t="s">
        <v>252</v>
      </c>
      <c r="B68" s="562" t="s">
        <v>744</v>
      </c>
      <c r="C68" s="560">
        <f>C69</f>
        <v>5982</v>
      </c>
      <c r="D68" s="560">
        <f aca="true" t="shared" si="43" ref="D68:R68">D69</f>
        <v>5982</v>
      </c>
      <c r="E68" s="560">
        <f t="shared" si="43"/>
        <v>0</v>
      </c>
      <c r="F68" s="560">
        <f t="shared" si="43"/>
        <v>44.9225</v>
      </c>
      <c r="G68" s="560">
        <f t="shared" si="43"/>
        <v>0</v>
      </c>
      <c r="H68" s="560">
        <f t="shared" si="43"/>
        <v>44.9225</v>
      </c>
      <c r="I68" s="560">
        <f t="shared" si="43"/>
        <v>44.9225</v>
      </c>
      <c r="J68" s="560">
        <f t="shared" si="43"/>
        <v>0</v>
      </c>
      <c r="K68" s="560">
        <f t="shared" si="43"/>
        <v>0</v>
      </c>
      <c r="L68" s="560">
        <f t="shared" si="43"/>
        <v>44.9225</v>
      </c>
      <c r="M68" s="560">
        <f t="shared" si="43"/>
        <v>44.9225</v>
      </c>
      <c r="N68" s="560">
        <f t="shared" si="43"/>
        <v>0</v>
      </c>
      <c r="O68" s="560">
        <f t="shared" si="43"/>
        <v>0</v>
      </c>
      <c r="P68" s="560">
        <f t="shared" si="43"/>
        <v>0</v>
      </c>
      <c r="Q68" s="560">
        <f t="shared" si="43"/>
        <v>0</v>
      </c>
      <c r="R68" s="560">
        <f t="shared" si="43"/>
        <v>0</v>
      </c>
      <c r="S68" s="584">
        <f t="shared" si="5"/>
        <v>0.007509612169842862</v>
      </c>
      <c r="T68" s="584">
        <f t="shared" si="6"/>
        <v>0</v>
      </c>
      <c r="U68" s="584" t="e">
        <f t="shared" si="7"/>
        <v>#DIV/0!</v>
      </c>
      <c r="V68" s="560"/>
      <c r="W68" s="596"/>
    </row>
    <row r="69" spans="1:23" s="238" customFormat="1" ht="56.25">
      <c r="A69" s="563" t="s">
        <v>37</v>
      </c>
      <c r="B69" s="562" t="s">
        <v>745</v>
      </c>
      <c r="C69" s="560">
        <f>C70+C71</f>
        <v>5982</v>
      </c>
      <c r="D69" s="560">
        <f aca="true" t="shared" si="44" ref="D69:R69">D70+D71</f>
        <v>5982</v>
      </c>
      <c r="E69" s="560">
        <f t="shared" si="44"/>
        <v>0</v>
      </c>
      <c r="F69" s="560">
        <f t="shared" si="44"/>
        <v>44.9225</v>
      </c>
      <c r="G69" s="560">
        <f t="shared" si="44"/>
        <v>0</v>
      </c>
      <c r="H69" s="560">
        <f t="shared" si="44"/>
        <v>44.9225</v>
      </c>
      <c r="I69" s="560">
        <f t="shared" si="44"/>
        <v>44.9225</v>
      </c>
      <c r="J69" s="560">
        <f t="shared" si="44"/>
        <v>0</v>
      </c>
      <c r="K69" s="560">
        <f t="shared" si="44"/>
        <v>0</v>
      </c>
      <c r="L69" s="560">
        <f t="shared" si="44"/>
        <v>44.9225</v>
      </c>
      <c r="M69" s="560">
        <f t="shared" si="44"/>
        <v>44.9225</v>
      </c>
      <c r="N69" s="560">
        <f t="shared" si="44"/>
        <v>0</v>
      </c>
      <c r="O69" s="560">
        <f t="shared" si="44"/>
        <v>0</v>
      </c>
      <c r="P69" s="560">
        <f t="shared" si="44"/>
        <v>0</v>
      </c>
      <c r="Q69" s="560">
        <f t="shared" si="44"/>
        <v>0</v>
      </c>
      <c r="R69" s="560">
        <f t="shared" si="44"/>
        <v>0</v>
      </c>
      <c r="S69" s="584">
        <f t="shared" si="5"/>
        <v>0.007509612169842862</v>
      </c>
      <c r="T69" s="584">
        <f t="shared" si="6"/>
        <v>0</v>
      </c>
      <c r="U69" s="584" t="e">
        <f t="shared" si="7"/>
        <v>#DIV/0!</v>
      </c>
      <c r="V69" s="560"/>
      <c r="W69" s="596"/>
    </row>
    <row r="70" spans="1:23" s="238" customFormat="1" ht="18.75">
      <c r="A70" s="563" t="s">
        <v>748</v>
      </c>
      <c r="B70" s="562" t="s">
        <v>532</v>
      </c>
      <c r="C70" s="560">
        <f>D70+E70</f>
        <v>0</v>
      </c>
      <c r="D70" s="560"/>
      <c r="E70" s="560"/>
      <c r="F70" s="560">
        <f>G70+H70</f>
        <v>44.9225</v>
      </c>
      <c r="G70" s="560">
        <f>J70+O70</f>
        <v>0</v>
      </c>
      <c r="H70" s="560">
        <f>L70+Q70</f>
        <v>44.9225</v>
      </c>
      <c r="I70" s="560">
        <f>J70+L70</f>
        <v>44.9225</v>
      </c>
      <c r="J70" s="560">
        <f>K70</f>
        <v>0</v>
      </c>
      <c r="K70" s="560"/>
      <c r="L70" s="560">
        <f>M70</f>
        <v>44.9225</v>
      </c>
      <c r="M70" s="560">
        <v>44.9225</v>
      </c>
      <c r="N70" s="560">
        <f>O70+Q70</f>
        <v>0</v>
      </c>
      <c r="O70" s="560">
        <f>P70</f>
        <v>0</v>
      </c>
      <c r="P70" s="560"/>
      <c r="Q70" s="560">
        <f>R70</f>
        <v>0</v>
      </c>
      <c r="R70" s="560"/>
      <c r="S70" s="584" t="e">
        <f t="shared" si="5"/>
        <v>#DIV/0!</v>
      </c>
      <c r="T70" s="584" t="e">
        <f t="shared" si="6"/>
        <v>#DIV/0!</v>
      </c>
      <c r="U70" s="584" t="e">
        <f t="shared" si="7"/>
        <v>#DIV/0!</v>
      </c>
      <c r="V70" s="560"/>
      <c r="W70" s="596"/>
    </row>
    <row r="71" spans="1:23" s="238" customFormat="1" ht="37.5">
      <c r="A71" s="563" t="s">
        <v>748</v>
      </c>
      <c r="B71" s="562" t="s">
        <v>543</v>
      </c>
      <c r="C71" s="560">
        <f>D71+E71</f>
        <v>5982</v>
      </c>
      <c r="D71" s="560">
        <f>1990+3992</f>
        <v>5982</v>
      </c>
      <c r="E71" s="560"/>
      <c r="F71" s="560">
        <f>G71+H71</f>
        <v>0</v>
      </c>
      <c r="G71" s="560">
        <f>J71+O71</f>
        <v>0</v>
      </c>
      <c r="H71" s="560">
        <f>L71+Q71</f>
        <v>0</v>
      </c>
      <c r="I71" s="560">
        <f>J71+L71</f>
        <v>0</v>
      </c>
      <c r="J71" s="560">
        <f>K71</f>
        <v>0</v>
      </c>
      <c r="K71" s="560"/>
      <c r="L71" s="560">
        <f>M71</f>
        <v>0</v>
      </c>
      <c r="M71" s="560"/>
      <c r="N71" s="560">
        <f>O71+Q71</f>
        <v>0</v>
      </c>
      <c r="O71" s="560">
        <f>P71</f>
        <v>0</v>
      </c>
      <c r="P71" s="560"/>
      <c r="Q71" s="560">
        <f>R71</f>
        <v>0</v>
      </c>
      <c r="R71" s="560"/>
      <c r="S71" s="584">
        <f t="shared" si="5"/>
        <v>0</v>
      </c>
      <c r="T71" s="584">
        <f t="shared" si="6"/>
        <v>0</v>
      </c>
      <c r="U71" s="584" t="e">
        <f t="shared" si="7"/>
        <v>#DIV/0!</v>
      </c>
      <c r="V71" s="560"/>
      <c r="W71" s="596"/>
    </row>
    <row r="72" spans="1:23" s="238" customFormat="1" ht="72">
      <c r="A72" s="563" t="s">
        <v>253</v>
      </c>
      <c r="B72" s="562" t="s">
        <v>767</v>
      </c>
      <c r="C72" s="560">
        <f aca="true" t="shared" si="45" ref="C72:R72">SUM(C73:C74)</f>
        <v>8287</v>
      </c>
      <c r="D72" s="560">
        <f t="shared" si="45"/>
        <v>0</v>
      </c>
      <c r="E72" s="560">
        <f t="shared" si="45"/>
        <v>8287</v>
      </c>
      <c r="F72" s="560">
        <f t="shared" si="45"/>
        <v>1275.587</v>
      </c>
      <c r="G72" s="560">
        <f t="shared" si="45"/>
        <v>0</v>
      </c>
      <c r="H72" s="560">
        <f t="shared" si="45"/>
        <v>1275.587</v>
      </c>
      <c r="I72" s="560">
        <f t="shared" si="45"/>
        <v>1275.587</v>
      </c>
      <c r="J72" s="560">
        <f t="shared" si="45"/>
        <v>0</v>
      </c>
      <c r="K72" s="560">
        <f t="shared" si="45"/>
        <v>0</v>
      </c>
      <c r="L72" s="560">
        <f t="shared" si="45"/>
        <v>1275.587</v>
      </c>
      <c r="M72" s="560">
        <f t="shared" si="45"/>
        <v>1275.587</v>
      </c>
      <c r="N72" s="560">
        <f t="shared" si="45"/>
        <v>0</v>
      </c>
      <c r="O72" s="560">
        <f t="shared" si="45"/>
        <v>0</v>
      </c>
      <c r="P72" s="560">
        <f t="shared" si="45"/>
        <v>0</v>
      </c>
      <c r="Q72" s="560">
        <f t="shared" si="45"/>
        <v>0</v>
      </c>
      <c r="R72" s="560">
        <f t="shared" si="45"/>
        <v>0</v>
      </c>
      <c r="S72" s="584">
        <f t="shared" si="5"/>
        <v>0.15392627006154216</v>
      </c>
      <c r="T72" s="584" t="e">
        <f t="shared" si="6"/>
        <v>#DIV/0!</v>
      </c>
      <c r="U72" s="584">
        <f t="shared" si="7"/>
        <v>0.15392627006154216</v>
      </c>
      <c r="V72" s="560"/>
      <c r="W72" s="596"/>
    </row>
    <row r="73" spans="1:23" s="238" customFormat="1" ht="18">
      <c r="A73" s="563" t="s">
        <v>37</v>
      </c>
      <c r="B73" s="562" t="s">
        <v>455</v>
      </c>
      <c r="C73" s="560">
        <f>D73+E73</f>
        <v>8287</v>
      </c>
      <c r="D73" s="560"/>
      <c r="E73" s="560">
        <v>8287</v>
      </c>
      <c r="F73" s="560">
        <f>G73+H73</f>
        <v>1275.587</v>
      </c>
      <c r="G73" s="560">
        <f>J73+O73</f>
        <v>0</v>
      </c>
      <c r="H73" s="560">
        <f>L73+Q73</f>
        <v>1275.587</v>
      </c>
      <c r="I73" s="560">
        <f>J73+L73</f>
        <v>1275.587</v>
      </c>
      <c r="J73" s="560">
        <f>K73</f>
        <v>0</v>
      </c>
      <c r="K73" s="560"/>
      <c r="L73" s="560">
        <f>M73</f>
        <v>1275.587</v>
      </c>
      <c r="M73" s="560">
        <v>1275.587</v>
      </c>
      <c r="N73" s="560">
        <f>O73+Q73</f>
        <v>0</v>
      </c>
      <c r="O73" s="560">
        <f>P73</f>
        <v>0</v>
      </c>
      <c r="P73" s="560"/>
      <c r="Q73" s="560">
        <f>R73</f>
        <v>0</v>
      </c>
      <c r="R73" s="560"/>
      <c r="S73" s="584">
        <f t="shared" si="5"/>
        <v>0.15392627006154216</v>
      </c>
      <c r="T73" s="584" t="e">
        <f t="shared" si="6"/>
        <v>#DIV/0!</v>
      </c>
      <c r="U73" s="584">
        <f t="shared" si="7"/>
        <v>0.15392627006154216</v>
      </c>
      <c r="V73" s="560"/>
      <c r="W73" s="596"/>
    </row>
    <row r="74" spans="1:23" s="238" customFormat="1" ht="18">
      <c r="A74" s="563" t="s">
        <v>37</v>
      </c>
      <c r="B74" s="562" t="s">
        <v>768</v>
      </c>
      <c r="C74" s="560">
        <f>D74+E74</f>
        <v>0</v>
      </c>
      <c r="D74" s="560"/>
      <c r="E74" s="560"/>
      <c r="F74" s="560">
        <f>G74+H74</f>
        <v>0</v>
      </c>
      <c r="G74" s="560">
        <f>J74+O74</f>
        <v>0</v>
      </c>
      <c r="H74" s="560">
        <f>L74+Q74</f>
        <v>0</v>
      </c>
      <c r="I74" s="560">
        <f>J74+L74</f>
        <v>0</v>
      </c>
      <c r="J74" s="560">
        <f>K74</f>
        <v>0</v>
      </c>
      <c r="K74" s="560"/>
      <c r="L74" s="560">
        <f>M74</f>
        <v>0</v>
      </c>
      <c r="M74" s="560"/>
      <c r="N74" s="560">
        <f>O74+Q74</f>
        <v>0</v>
      </c>
      <c r="O74" s="560">
        <f>P74</f>
        <v>0</v>
      </c>
      <c r="P74" s="560"/>
      <c r="Q74" s="560">
        <f>R74</f>
        <v>0</v>
      </c>
      <c r="R74" s="560"/>
      <c r="S74" s="584" t="e">
        <f t="shared" si="5"/>
        <v>#DIV/0!</v>
      </c>
      <c r="T74" s="584" t="e">
        <f t="shared" si="6"/>
        <v>#DIV/0!</v>
      </c>
      <c r="U74" s="584" t="e">
        <f t="shared" si="7"/>
        <v>#DIV/0!</v>
      </c>
      <c r="V74" s="560"/>
      <c r="W74" s="596"/>
    </row>
    <row r="75" spans="1:23" s="238" customFormat="1" ht="54">
      <c r="A75" s="563" t="s">
        <v>254</v>
      </c>
      <c r="B75" s="562" t="s">
        <v>769</v>
      </c>
      <c r="C75" s="560">
        <f>SUM(C76:C77)</f>
        <v>2247</v>
      </c>
      <c r="D75" s="560">
        <f aca="true" t="shared" si="46" ref="D75:R75">SUM(D76:D77)</f>
        <v>0</v>
      </c>
      <c r="E75" s="560">
        <f t="shared" si="46"/>
        <v>2247</v>
      </c>
      <c r="F75" s="560">
        <f t="shared" si="46"/>
        <v>776.962</v>
      </c>
      <c r="G75" s="560">
        <f t="shared" si="46"/>
        <v>0</v>
      </c>
      <c r="H75" s="560">
        <f t="shared" si="46"/>
        <v>776.962</v>
      </c>
      <c r="I75" s="560">
        <f t="shared" si="46"/>
        <v>776.962</v>
      </c>
      <c r="J75" s="560">
        <f t="shared" si="46"/>
        <v>0</v>
      </c>
      <c r="K75" s="560">
        <f t="shared" si="46"/>
        <v>0</v>
      </c>
      <c r="L75" s="560">
        <f t="shared" si="46"/>
        <v>776.962</v>
      </c>
      <c r="M75" s="560">
        <f t="shared" si="46"/>
        <v>776.962</v>
      </c>
      <c r="N75" s="560">
        <f t="shared" si="46"/>
        <v>0</v>
      </c>
      <c r="O75" s="560">
        <f t="shared" si="46"/>
        <v>0</v>
      </c>
      <c r="P75" s="560">
        <f t="shared" si="46"/>
        <v>0</v>
      </c>
      <c r="Q75" s="560">
        <f t="shared" si="46"/>
        <v>0</v>
      </c>
      <c r="R75" s="560">
        <f t="shared" si="46"/>
        <v>0</v>
      </c>
      <c r="S75" s="584">
        <f t="shared" si="5"/>
        <v>0.3457774810858923</v>
      </c>
      <c r="T75" s="584" t="e">
        <f t="shared" si="6"/>
        <v>#DIV/0!</v>
      </c>
      <c r="U75" s="584">
        <f t="shared" si="7"/>
        <v>0.3457774810858923</v>
      </c>
      <c r="V75" s="560"/>
      <c r="W75" s="596"/>
    </row>
    <row r="76" spans="1:23" s="238" customFormat="1" ht="18">
      <c r="A76" s="563" t="s">
        <v>37</v>
      </c>
      <c r="B76" s="562" t="s">
        <v>536</v>
      </c>
      <c r="C76" s="560">
        <f>D76+E76</f>
        <v>2247</v>
      </c>
      <c r="D76" s="560"/>
      <c r="E76" s="560">
        <v>2247</v>
      </c>
      <c r="F76" s="560">
        <f>G76+H76</f>
        <v>776.962</v>
      </c>
      <c r="G76" s="560">
        <f>J76+O76</f>
        <v>0</v>
      </c>
      <c r="H76" s="560">
        <f>L76+Q76</f>
        <v>776.962</v>
      </c>
      <c r="I76" s="560">
        <f>J76+L76</f>
        <v>776.962</v>
      </c>
      <c r="J76" s="560">
        <f>K76</f>
        <v>0</v>
      </c>
      <c r="K76" s="560"/>
      <c r="L76" s="560">
        <f>M76</f>
        <v>776.962</v>
      </c>
      <c r="M76" s="560">
        <v>776.962</v>
      </c>
      <c r="N76" s="560">
        <f>O76+Q76</f>
        <v>0</v>
      </c>
      <c r="O76" s="560">
        <f>P76</f>
        <v>0</v>
      </c>
      <c r="P76" s="560"/>
      <c r="Q76" s="560">
        <f>R76</f>
        <v>0</v>
      </c>
      <c r="R76" s="560"/>
      <c r="S76" s="584">
        <f>F76/C76</f>
        <v>0.3457774810858923</v>
      </c>
      <c r="T76" s="584" t="e">
        <f>G76/D76</f>
        <v>#DIV/0!</v>
      </c>
      <c r="U76" s="584">
        <f>H76/E76</f>
        <v>0.3457774810858923</v>
      </c>
      <c r="V76" s="560"/>
      <c r="W76" s="596"/>
    </row>
    <row r="77" spans="1:23" s="238" customFormat="1" ht="18">
      <c r="A77" s="563" t="s">
        <v>37</v>
      </c>
      <c r="B77" s="562" t="s">
        <v>768</v>
      </c>
      <c r="C77" s="560">
        <f>D77+E77</f>
        <v>0</v>
      </c>
      <c r="D77" s="560"/>
      <c r="E77" s="560"/>
      <c r="F77" s="560">
        <f>G77+H77</f>
        <v>0</v>
      </c>
      <c r="G77" s="560">
        <f>J77+O77</f>
        <v>0</v>
      </c>
      <c r="H77" s="560">
        <f>L77+Q77</f>
        <v>0</v>
      </c>
      <c r="I77" s="560">
        <f>J77+L77</f>
        <v>0</v>
      </c>
      <c r="J77" s="560">
        <f>K77</f>
        <v>0</v>
      </c>
      <c r="K77" s="560"/>
      <c r="L77" s="560">
        <f>M77</f>
        <v>0</v>
      </c>
      <c r="M77" s="560"/>
      <c r="N77" s="560">
        <f>O77+Q77</f>
        <v>0</v>
      </c>
      <c r="O77" s="560">
        <f>P77</f>
        <v>0</v>
      </c>
      <c r="P77" s="560"/>
      <c r="Q77" s="560">
        <f>R77</f>
        <v>0</v>
      </c>
      <c r="R77" s="560"/>
      <c r="S77" s="584" t="e">
        <f t="shared" si="5"/>
        <v>#DIV/0!</v>
      </c>
      <c r="T77" s="584" t="e">
        <f t="shared" si="6"/>
        <v>#DIV/0!</v>
      </c>
      <c r="U77" s="584" t="e">
        <f t="shared" si="7"/>
        <v>#DIV/0!</v>
      </c>
      <c r="V77" s="560"/>
      <c r="W77" s="596"/>
    </row>
    <row r="78" spans="1:23" s="238" customFormat="1" ht="69.75">
      <c r="A78" s="556">
        <v>3</v>
      </c>
      <c r="B78" s="565" t="s">
        <v>574</v>
      </c>
      <c r="C78" s="553">
        <f>SUM(C79:C80)</f>
        <v>404.02</v>
      </c>
      <c r="D78" s="553">
        <f aca="true" t="shared" si="47" ref="D78:R78">SUM(D79:D80)</f>
        <v>0</v>
      </c>
      <c r="E78" s="553">
        <f t="shared" si="47"/>
        <v>404.02</v>
      </c>
      <c r="F78" s="553">
        <f t="shared" si="47"/>
        <v>515.992</v>
      </c>
      <c r="G78" s="553">
        <f t="shared" si="47"/>
        <v>0</v>
      </c>
      <c r="H78" s="553">
        <f t="shared" si="47"/>
        <v>515.992</v>
      </c>
      <c r="I78" s="553">
        <f t="shared" si="47"/>
        <v>515.992</v>
      </c>
      <c r="J78" s="553">
        <f t="shared" si="47"/>
        <v>0</v>
      </c>
      <c r="K78" s="553">
        <f t="shared" si="47"/>
        <v>0</v>
      </c>
      <c r="L78" s="553">
        <f t="shared" si="47"/>
        <v>515.992</v>
      </c>
      <c r="M78" s="553">
        <f t="shared" si="47"/>
        <v>515.992</v>
      </c>
      <c r="N78" s="553">
        <f t="shared" si="47"/>
        <v>0</v>
      </c>
      <c r="O78" s="553">
        <f t="shared" si="47"/>
        <v>0</v>
      </c>
      <c r="P78" s="553">
        <f t="shared" si="47"/>
        <v>0</v>
      </c>
      <c r="Q78" s="553">
        <f t="shared" si="47"/>
        <v>0</v>
      </c>
      <c r="R78" s="553">
        <f t="shared" si="47"/>
        <v>0</v>
      </c>
      <c r="S78" s="584">
        <f t="shared" si="5"/>
        <v>1.2771446958071382</v>
      </c>
      <c r="T78" s="584" t="e">
        <f t="shared" si="6"/>
        <v>#DIV/0!</v>
      </c>
      <c r="U78" s="584">
        <f t="shared" si="7"/>
        <v>1.2771446958071382</v>
      </c>
      <c r="V78" s="560"/>
      <c r="W78" s="596"/>
    </row>
    <row r="79" spans="1:23" s="238" customFormat="1" ht="18">
      <c r="A79" s="563"/>
      <c r="B79" s="562" t="s">
        <v>452</v>
      </c>
      <c r="C79" s="560">
        <f aca="true" t="shared" si="48" ref="C79:C133">D79+E79</f>
        <v>404.02</v>
      </c>
      <c r="D79" s="560"/>
      <c r="E79" s="560">
        <v>404.02</v>
      </c>
      <c r="F79" s="560">
        <f aca="true" t="shared" si="49" ref="F79:F133">G79+H79</f>
        <v>402.88</v>
      </c>
      <c r="G79" s="560">
        <f aca="true" t="shared" si="50" ref="G79:G133">J79+O79</f>
        <v>0</v>
      </c>
      <c r="H79" s="560">
        <f aca="true" t="shared" si="51" ref="H79:H133">L79+Q79</f>
        <v>402.88</v>
      </c>
      <c r="I79" s="560">
        <f aca="true" t="shared" si="52" ref="I79:I133">J79+L79</f>
        <v>402.88</v>
      </c>
      <c r="J79" s="560">
        <f aca="true" t="shared" si="53" ref="J79:J133">K79</f>
        <v>0</v>
      </c>
      <c r="K79" s="560"/>
      <c r="L79" s="560">
        <f aca="true" t="shared" si="54" ref="L79:L133">M79</f>
        <v>402.88</v>
      </c>
      <c r="M79" s="560">
        <v>402.88</v>
      </c>
      <c r="N79" s="560">
        <f aca="true" t="shared" si="55" ref="N79:N133">O79+Q79</f>
        <v>0</v>
      </c>
      <c r="O79" s="560">
        <f aca="true" t="shared" si="56" ref="O79:O133">P79</f>
        <v>0</v>
      </c>
      <c r="P79" s="560"/>
      <c r="Q79" s="560">
        <f aca="true" t="shared" si="57" ref="Q79:Q133">R79</f>
        <v>0</v>
      </c>
      <c r="R79" s="560"/>
      <c r="S79" s="584">
        <f aca="true" t="shared" si="58" ref="S79:S133">F79/C79</f>
        <v>0.9971783575070542</v>
      </c>
      <c r="T79" s="584" t="e">
        <f aca="true" t="shared" si="59" ref="T79:T133">G79/D79</f>
        <v>#DIV/0!</v>
      </c>
      <c r="U79" s="584">
        <f aca="true" t="shared" si="60" ref="U79:U133">H79/E79</f>
        <v>0.9971783575070542</v>
      </c>
      <c r="V79" s="560"/>
      <c r="W79" s="596"/>
    </row>
    <row r="80" spans="1:23" s="238" customFormat="1" ht="36">
      <c r="A80" s="563"/>
      <c r="B80" s="566" t="s">
        <v>544</v>
      </c>
      <c r="C80" s="560">
        <f t="shared" si="48"/>
        <v>0</v>
      </c>
      <c r="D80" s="560"/>
      <c r="E80" s="560"/>
      <c r="F80" s="560">
        <f t="shared" si="49"/>
        <v>113.112</v>
      </c>
      <c r="G80" s="560">
        <f t="shared" si="50"/>
        <v>0</v>
      </c>
      <c r="H80" s="560">
        <f t="shared" si="51"/>
        <v>113.112</v>
      </c>
      <c r="I80" s="560">
        <f t="shared" si="52"/>
        <v>113.112</v>
      </c>
      <c r="J80" s="560">
        <f t="shared" si="53"/>
        <v>0</v>
      </c>
      <c r="K80" s="560"/>
      <c r="L80" s="560">
        <f t="shared" si="54"/>
        <v>113.112</v>
      </c>
      <c r="M80" s="560">
        <v>113.112</v>
      </c>
      <c r="N80" s="560">
        <f t="shared" si="55"/>
        <v>0</v>
      </c>
      <c r="O80" s="560">
        <f t="shared" si="56"/>
        <v>0</v>
      </c>
      <c r="P80" s="560"/>
      <c r="Q80" s="560">
        <f t="shared" si="57"/>
        <v>0</v>
      </c>
      <c r="R80" s="560"/>
      <c r="S80" s="584" t="e">
        <f t="shared" si="58"/>
        <v>#DIV/0!</v>
      </c>
      <c r="T80" s="584" t="e">
        <f t="shared" si="59"/>
        <v>#DIV/0!</v>
      </c>
      <c r="U80" s="584" t="e">
        <f t="shared" si="60"/>
        <v>#DIV/0!</v>
      </c>
      <c r="V80" s="560"/>
      <c r="W80" s="596"/>
    </row>
    <row r="81" spans="1:23" s="238" customFormat="1" ht="87">
      <c r="A81" s="556">
        <v>4</v>
      </c>
      <c r="B81" s="565" t="s">
        <v>575</v>
      </c>
      <c r="C81" s="553">
        <f>C82</f>
        <v>1179</v>
      </c>
      <c r="D81" s="553">
        <f aca="true" t="shared" si="61" ref="D81:R81">D82</f>
        <v>0</v>
      </c>
      <c r="E81" s="553">
        <f t="shared" si="61"/>
        <v>1179</v>
      </c>
      <c r="F81" s="553">
        <f t="shared" si="61"/>
        <v>841.5966</v>
      </c>
      <c r="G81" s="553">
        <f t="shared" si="61"/>
        <v>0</v>
      </c>
      <c r="H81" s="553">
        <f t="shared" si="61"/>
        <v>841.5966</v>
      </c>
      <c r="I81" s="553">
        <f t="shared" si="61"/>
        <v>841.5966</v>
      </c>
      <c r="J81" s="553">
        <f t="shared" si="61"/>
        <v>0</v>
      </c>
      <c r="K81" s="553">
        <f t="shared" si="61"/>
        <v>0</v>
      </c>
      <c r="L81" s="553">
        <f t="shared" si="61"/>
        <v>841.5966</v>
      </c>
      <c r="M81" s="553">
        <f t="shared" si="61"/>
        <v>841.5966</v>
      </c>
      <c r="N81" s="553">
        <f t="shared" si="61"/>
        <v>0</v>
      </c>
      <c r="O81" s="553">
        <f t="shared" si="61"/>
        <v>0</v>
      </c>
      <c r="P81" s="553">
        <f t="shared" si="61"/>
        <v>0</v>
      </c>
      <c r="Q81" s="553">
        <f t="shared" si="61"/>
        <v>0</v>
      </c>
      <c r="R81" s="553">
        <f t="shared" si="61"/>
        <v>0</v>
      </c>
      <c r="S81" s="584">
        <f t="shared" si="58"/>
        <v>0.7138223918575063</v>
      </c>
      <c r="T81" s="584" t="e">
        <f t="shared" si="59"/>
        <v>#DIV/0!</v>
      </c>
      <c r="U81" s="584">
        <f t="shared" si="60"/>
        <v>0.7138223918575063</v>
      </c>
      <c r="V81" s="560"/>
      <c r="W81" s="596"/>
    </row>
    <row r="82" spans="1:23" s="238" customFormat="1" ht="18">
      <c r="A82" s="563"/>
      <c r="B82" s="566" t="s">
        <v>545</v>
      </c>
      <c r="C82" s="560">
        <f t="shared" si="48"/>
        <v>1179</v>
      </c>
      <c r="D82" s="560"/>
      <c r="E82" s="560">
        <v>1179</v>
      </c>
      <c r="F82" s="560">
        <f t="shared" si="49"/>
        <v>841.5966</v>
      </c>
      <c r="G82" s="560">
        <f t="shared" si="50"/>
        <v>0</v>
      </c>
      <c r="H82" s="560">
        <f t="shared" si="51"/>
        <v>841.5966</v>
      </c>
      <c r="I82" s="560">
        <f t="shared" si="52"/>
        <v>841.5966</v>
      </c>
      <c r="J82" s="560">
        <f t="shared" si="53"/>
        <v>0</v>
      </c>
      <c r="K82" s="560"/>
      <c r="L82" s="560">
        <f t="shared" si="54"/>
        <v>841.5966</v>
      </c>
      <c r="M82" s="560">
        <v>841.5966</v>
      </c>
      <c r="N82" s="560">
        <f t="shared" si="55"/>
        <v>0</v>
      </c>
      <c r="O82" s="560">
        <f t="shared" si="56"/>
        <v>0</v>
      </c>
      <c r="P82" s="560"/>
      <c r="Q82" s="560">
        <f t="shared" si="57"/>
        <v>0</v>
      </c>
      <c r="R82" s="560"/>
      <c r="S82" s="584">
        <f t="shared" si="58"/>
        <v>0.7138223918575063</v>
      </c>
      <c r="T82" s="584" t="e">
        <f t="shared" si="59"/>
        <v>#DIV/0!</v>
      </c>
      <c r="U82" s="584">
        <f t="shared" si="60"/>
        <v>0.7138223918575063</v>
      </c>
      <c r="V82" s="560"/>
      <c r="W82" s="596"/>
    </row>
    <row r="83" spans="1:23" s="238" customFormat="1" ht="69.75">
      <c r="A83" s="556">
        <v>5</v>
      </c>
      <c r="B83" s="567" t="s">
        <v>576</v>
      </c>
      <c r="C83" s="553">
        <f>SUM(C84:C85)</f>
        <v>2761</v>
      </c>
      <c r="D83" s="553">
        <f aca="true" t="shared" si="62" ref="D83:R83">SUM(D84:D85)</f>
        <v>0</v>
      </c>
      <c r="E83" s="553">
        <f t="shared" si="62"/>
        <v>2761</v>
      </c>
      <c r="F83" s="553">
        <f t="shared" si="62"/>
        <v>749.877</v>
      </c>
      <c r="G83" s="553">
        <f t="shared" si="62"/>
        <v>0</v>
      </c>
      <c r="H83" s="553">
        <f t="shared" si="62"/>
        <v>749.877</v>
      </c>
      <c r="I83" s="553">
        <f t="shared" si="62"/>
        <v>749.877</v>
      </c>
      <c r="J83" s="553">
        <f t="shared" si="62"/>
        <v>0</v>
      </c>
      <c r="K83" s="553">
        <f t="shared" si="62"/>
        <v>0</v>
      </c>
      <c r="L83" s="553">
        <f t="shared" si="62"/>
        <v>749.877</v>
      </c>
      <c r="M83" s="553">
        <f t="shared" si="62"/>
        <v>749.877</v>
      </c>
      <c r="N83" s="553">
        <f t="shared" si="62"/>
        <v>0</v>
      </c>
      <c r="O83" s="553">
        <f t="shared" si="62"/>
        <v>0</v>
      </c>
      <c r="P83" s="553">
        <f t="shared" si="62"/>
        <v>0</v>
      </c>
      <c r="Q83" s="553">
        <f t="shared" si="62"/>
        <v>0</v>
      </c>
      <c r="R83" s="553">
        <f t="shared" si="62"/>
        <v>0</v>
      </c>
      <c r="S83" s="584">
        <f t="shared" si="58"/>
        <v>0.2715961608113002</v>
      </c>
      <c r="T83" s="584" t="e">
        <f t="shared" si="59"/>
        <v>#DIV/0!</v>
      </c>
      <c r="U83" s="584">
        <f t="shared" si="60"/>
        <v>0.2715961608113002</v>
      </c>
      <c r="V83" s="560"/>
      <c r="W83" s="596"/>
    </row>
    <row r="84" spans="1:23" s="238" customFormat="1" ht="18">
      <c r="A84" s="563"/>
      <c r="B84" s="566" t="s">
        <v>563</v>
      </c>
      <c r="C84" s="560">
        <f t="shared" si="48"/>
        <v>2761</v>
      </c>
      <c r="D84" s="560"/>
      <c r="E84" s="560">
        <v>2761</v>
      </c>
      <c r="F84" s="560">
        <f t="shared" si="49"/>
        <v>539.76</v>
      </c>
      <c r="G84" s="560">
        <f t="shared" si="50"/>
        <v>0</v>
      </c>
      <c r="H84" s="560">
        <f t="shared" si="51"/>
        <v>539.76</v>
      </c>
      <c r="I84" s="560">
        <f t="shared" si="52"/>
        <v>539.76</v>
      </c>
      <c r="J84" s="560">
        <f t="shared" si="53"/>
        <v>0</v>
      </c>
      <c r="K84" s="560"/>
      <c r="L84" s="560">
        <f t="shared" si="54"/>
        <v>539.76</v>
      </c>
      <c r="M84" s="560">
        <v>539.76</v>
      </c>
      <c r="N84" s="560">
        <f t="shared" si="55"/>
        <v>0</v>
      </c>
      <c r="O84" s="560">
        <f t="shared" si="56"/>
        <v>0</v>
      </c>
      <c r="P84" s="560"/>
      <c r="Q84" s="560">
        <f t="shared" si="57"/>
        <v>0</v>
      </c>
      <c r="R84" s="560"/>
      <c r="S84" s="584">
        <f t="shared" si="58"/>
        <v>0.19549438609199565</v>
      </c>
      <c r="T84" s="584" t="e">
        <f t="shared" si="59"/>
        <v>#DIV/0!</v>
      </c>
      <c r="U84" s="584">
        <f t="shared" si="60"/>
        <v>0.19549438609199565</v>
      </c>
      <c r="V84" s="560"/>
      <c r="W84" s="596"/>
    </row>
    <row r="85" spans="1:23" s="238" customFormat="1" ht="18">
      <c r="A85" s="563"/>
      <c r="B85" s="566" t="s">
        <v>563</v>
      </c>
      <c r="C85" s="560">
        <f t="shared" si="48"/>
        <v>0</v>
      </c>
      <c r="D85" s="560"/>
      <c r="E85" s="560"/>
      <c r="F85" s="560">
        <f t="shared" si="49"/>
        <v>210.117</v>
      </c>
      <c r="G85" s="560">
        <f t="shared" si="50"/>
        <v>0</v>
      </c>
      <c r="H85" s="560">
        <f t="shared" si="51"/>
        <v>210.117</v>
      </c>
      <c r="I85" s="560">
        <f t="shared" si="52"/>
        <v>210.117</v>
      </c>
      <c r="J85" s="560">
        <f t="shared" si="53"/>
        <v>0</v>
      </c>
      <c r="K85" s="560"/>
      <c r="L85" s="560">
        <f t="shared" si="54"/>
        <v>210.117</v>
      </c>
      <c r="M85" s="560">
        <v>210.117</v>
      </c>
      <c r="N85" s="560">
        <f t="shared" si="55"/>
        <v>0</v>
      </c>
      <c r="O85" s="560">
        <f t="shared" si="56"/>
        <v>0</v>
      </c>
      <c r="P85" s="560"/>
      <c r="Q85" s="560">
        <f t="shared" si="57"/>
        <v>0</v>
      </c>
      <c r="R85" s="560"/>
      <c r="S85" s="584" t="e">
        <f t="shared" si="58"/>
        <v>#DIV/0!</v>
      </c>
      <c r="T85" s="584" t="e">
        <f t="shared" si="59"/>
        <v>#DIV/0!</v>
      </c>
      <c r="U85" s="584" t="e">
        <f t="shared" si="60"/>
        <v>#DIV/0!</v>
      </c>
      <c r="V85" s="560"/>
      <c r="W85" s="596"/>
    </row>
    <row r="86" spans="1:23" s="238" customFormat="1" ht="69.75">
      <c r="A86" s="556">
        <v>6</v>
      </c>
      <c r="B86" s="565" t="s">
        <v>577</v>
      </c>
      <c r="C86" s="553">
        <f>C87</f>
        <v>851</v>
      </c>
      <c r="D86" s="553">
        <f aca="true" t="shared" si="63" ref="D86:R86">D87</f>
        <v>0</v>
      </c>
      <c r="E86" s="553">
        <f t="shared" si="63"/>
        <v>851</v>
      </c>
      <c r="F86" s="553">
        <f t="shared" si="63"/>
        <v>846.596</v>
      </c>
      <c r="G86" s="553">
        <f t="shared" si="63"/>
        <v>0</v>
      </c>
      <c r="H86" s="553">
        <f t="shared" si="63"/>
        <v>846.596</v>
      </c>
      <c r="I86" s="553">
        <f t="shared" si="63"/>
        <v>846.596</v>
      </c>
      <c r="J86" s="553">
        <f t="shared" si="63"/>
        <v>0</v>
      </c>
      <c r="K86" s="553">
        <f t="shared" si="63"/>
        <v>0</v>
      </c>
      <c r="L86" s="553">
        <f t="shared" si="63"/>
        <v>846.596</v>
      </c>
      <c r="M86" s="553">
        <f t="shared" si="63"/>
        <v>846.596</v>
      </c>
      <c r="N86" s="553">
        <f t="shared" si="63"/>
        <v>0</v>
      </c>
      <c r="O86" s="553">
        <f t="shared" si="63"/>
        <v>0</v>
      </c>
      <c r="P86" s="553">
        <f t="shared" si="63"/>
        <v>0</v>
      </c>
      <c r="Q86" s="553">
        <f t="shared" si="63"/>
        <v>0</v>
      </c>
      <c r="R86" s="553">
        <f t="shared" si="63"/>
        <v>0</v>
      </c>
      <c r="S86" s="584">
        <f t="shared" si="58"/>
        <v>0.9948249118683902</v>
      </c>
      <c r="T86" s="584" t="e">
        <f t="shared" si="59"/>
        <v>#DIV/0!</v>
      </c>
      <c r="U86" s="584">
        <f t="shared" si="60"/>
        <v>0.9948249118683902</v>
      </c>
      <c r="V86" s="560"/>
      <c r="W86" s="596"/>
    </row>
    <row r="87" spans="1:23" s="238" customFormat="1" ht="18">
      <c r="A87" s="563"/>
      <c r="B87" s="566" t="s">
        <v>536</v>
      </c>
      <c r="C87" s="560">
        <f t="shared" si="48"/>
        <v>851</v>
      </c>
      <c r="D87" s="560"/>
      <c r="E87" s="560">
        <v>851</v>
      </c>
      <c r="F87" s="560">
        <f t="shared" si="49"/>
        <v>846.596</v>
      </c>
      <c r="G87" s="560">
        <f t="shared" si="50"/>
        <v>0</v>
      </c>
      <c r="H87" s="560">
        <f t="shared" si="51"/>
        <v>846.596</v>
      </c>
      <c r="I87" s="560">
        <f t="shared" si="52"/>
        <v>846.596</v>
      </c>
      <c r="J87" s="560">
        <f t="shared" si="53"/>
        <v>0</v>
      </c>
      <c r="K87" s="560"/>
      <c r="L87" s="560">
        <f t="shared" si="54"/>
        <v>846.596</v>
      </c>
      <c r="M87" s="560">
        <v>846.596</v>
      </c>
      <c r="N87" s="560">
        <f t="shared" si="55"/>
        <v>0</v>
      </c>
      <c r="O87" s="560">
        <f t="shared" si="56"/>
        <v>0</v>
      </c>
      <c r="P87" s="560"/>
      <c r="Q87" s="560">
        <f t="shared" si="57"/>
        <v>0</v>
      </c>
      <c r="R87" s="560"/>
      <c r="S87" s="584">
        <f t="shared" si="58"/>
        <v>0.9948249118683902</v>
      </c>
      <c r="T87" s="584" t="e">
        <f t="shared" si="59"/>
        <v>#DIV/0!</v>
      </c>
      <c r="U87" s="584">
        <f t="shared" si="60"/>
        <v>0.9948249118683902</v>
      </c>
      <c r="V87" s="560"/>
      <c r="W87" s="596"/>
    </row>
    <row r="88" spans="1:23" s="238" customFormat="1" ht="105">
      <c r="A88" s="556">
        <v>7</v>
      </c>
      <c r="B88" s="565" t="s">
        <v>578</v>
      </c>
      <c r="C88" s="553">
        <f>C89+C92+C94</f>
        <v>1650</v>
      </c>
      <c r="D88" s="553">
        <f aca="true" t="shared" si="64" ref="D88:R88">D89+D92+D94</f>
        <v>0</v>
      </c>
      <c r="E88" s="553">
        <f t="shared" si="64"/>
        <v>1650</v>
      </c>
      <c r="F88" s="553">
        <f t="shared" si="64"/>
        <v>1319.1956</v>
      </c>
      <c r="G88" s="553">
        <f t="shared" si="64"/>
        <v>0</v>
      </c>
      <c r="H88" s="553">
        <f t="shared" si="64"/>
        <v>1319.1956</v>
      </c>
      <c r="I88" s="553">
        <f t="shared" si="64"/>
        <v>1319.1956</v>
      </c>
      <c r="J88" s="553">
        <f t="shared" si="64"/>
        <v>0</v>
      </c>
      <c r="K88" s="553">
        <f t="shared" si="64"/>
        <v>0</v>
      </c>
      <c r="L88" s="553">
        <f t="shared" si="64"/>
        <v>1319.1956</v>
      </c>
      <c r="M88" s="553">
        <f t="shared" si="64"/>
        <v>1319.1956</v>
      </c>
      <c r="N88" s="553">
        <f t="shared" si="64"/>
        <v>0</v>
      </c>
      <c r="O88" s="553">
        <f t="shared" si="64"/>
        <v>0</v>
      </c>
      <c r="P88" s="553">
        <f t="shared" si="64"/>
        <v>0</v>
      </c>
      <c r="Q88" s="553">
        <f t="shared" si="64"/>
        <v>0</v>
      </c>
      <c r="R88" s="553">
        <f t="shared" si="64"/>
        <v>0</v>
      </c>
      <c r="S88" s="584">
        <f t="shared" si="58"/>
        <v>0.7995124848484848</v>
      </c>
      <c r="T88" s="584" t="e">
        <f t="shared" si="59"/>
        <v>#DIV/0!</v>
      </c>
      <c r="U88" s="584">
        <f t="shared" si="60"/>
        <v>0.7995124848484848</v>
      </c>
      <c r="V88" s="560"/>
      <c r="W88" s="596"/>
    </row>
    <row r="89" spans="1:23" s="238" customFormat="1" ht="198">
      <c r="A89" s="563" t="s">
        <v>771</v>
      </c>
      <c r="B89" s="562" t="s">
        <v>770</v>
      </c>
      <c r="C89" s="560">
        <f>SUM(C90:C91)</f>
        <v>1284</v>
      </c>
      <c r="D89" s="560">
        <f aca="true" t="shared" si="65" ref="D89:R89">SUM(D90:D91)</f>
        <v>0</v>
      </c>
      <c r="E89" s="560">
        <f t="shared" si="65"/>
        <v>1284</v>
      </c>
      <c r="F89" s="560">
        <f t="shared" si="65"/>
        <v>1193.847</v>
      </c>
      <c r="G89" s="560">
        <f t="shared" si="65"/>
        <v>0</v>
      </c>
      <c r="H89" s="560">
        <f t="shared" si="65"/>
        <v>1193.847</v>
      </c>
      <c r="I89" s="560">
        <f t="shared" si="65"/>
        <v>1193.847</v>
      </c>
      <c r="J89" s="560">
        <f t="shared" si="65"/>
        <v>0</v>
      </c>
      <c r="K89" s="560">
        <f t="shared" si="65"/>
        <v>0</v>
      </c>
      <c r="L89" s="560">
        <f t="shared" si="65"/>
        <v>1193.847</v>
      </c>
      <c r="M89" s="560">
        <f t="shared" si="65"/>
        <v>1193.847</v>
      </c>
      <c r="N89" s="560">
        <f t="shared" si="65"/>
        <v>0</v>
      </c>
      <c r="O89" s="560">
        <f t="shared" si="65"/>
        <v>0</v>
      </c>
      <c r="P89" s="560">
        <f t="shared" si="65"/>
        <v>0</v>
      </c>
      <c r="Q89" s="560">
        <f t="shared" si="65"/>
        <v>0</v>
      </c>
      <c r="R89" s="560">
        <f t="shared" si="65"/>
        <v>0</v>
      </c>
      <c r="S89" s="584">
        <f t="shared" si="58"/>
        <v>0.92978738317757</v>
      </c>
      <c r="T89" s="584" t="e">
        <f t="shared" si="59"/>
        <v>#DIV/0!</v>
      </c>
      <c r="U89" s="584">
        <f t="shared" si="60"/>
        <v>0.92978738317757</v>
      </c>
      <c r="V89" s="560"/>
      <c r="W89" s="596"/>
    </row>
    <row r="90" spans="1:23" s="238" customFormat="1" ht="18">
      <c r="A90" s="561"/>
      <c r="B90" s="558" t="s">
        <v>299</v>
      </c>
      <c r="C90" s="560">
        <f t="shared" si="48"/>
        <v>420</v>
      </c>
      <c r="D90" s="560"/>
      <c r="E90" s="560">
        <v>420</v>
      </c>
      <c r="F90" s="560">
        <f t="shared" si="49"/>
        <v>420</v>
      </c>
      <c r="G90" s="560">
        <f t="shared" si="50"/>
        <v>0</v>
      </c>
      <c r="H90" s="560">
        <f t="shared" si="51"/>
        <v>420</v>
      </c>
      <c r="I90" s="560">
        <f t="shared" si="52"/>
        <v>420</v>
      </c>
      <c r="J90" s="560">
        <f t="shared" si="53"/>
        <v>0</v>
      </c>
      <c r="K90" s="560"/>
      <c r="L90" s="560">
        <f t="shared" si="54"/>
        <v>420</v>
      </c>
      <c r="M90" s="560">
        <v>420</v>
      </c>
      <c r="N90" s="560">
        <f t="shared" si="55"/>
        <v>0</v>
      </c>
      <c r="O90" s="560">
        <f t="shared" si="56"/>
        <v>0</v>
      </c>
      <c r="P90" s="560"/>
      <c r="Q90" s="560">
        <f t="shared" si="57"/>
        <v>0</v>
      </c>
      <c r="R90" s="560"/>
      <c r="S90" s="584">
        <f t="shared" si="58"/>
        <v>1</v>
      </c>
      <c r="T90" s="584" t="e">
        <f t="shared" si="59"/>
        <v>#DIV/0!</v>
      </c>
      <c r="U90" s="584">
        <f t="shared" si="60"/>
        <v>1</v>
      </c>
      <c r="V90" s="560"/>
      <c r="W90" s="596"/>
    </row>
    <row r="91" spans="1:23" s="238" customFormat="1" ht="18">
      <c r="A91" s="561"/>
      <c r="B91" s="566" t="s">
        <v>536</v>
      </c>
      <c r="C91" s="560">
        <f t="shared" si="48"/>
        <v>864</v>
      </c>
      <c r="D91" s="560"/>
      <c r="E91" s="560">
        <f>430+434</f>
        <v>864</v>
      </c>
      <c r="F91" s="560">
        <f t="shared" si="49"/>
        <v>773.847</v>
      </c>
      <c r="G91" s="560">
        <f t="shared" si="50"/>
        <v>0</v>
      </c>
      <c r="H91" s="560">
        <f t="shared" si="51"/>
        <v>773.847</v>
      </c>
      <c r="I91" s="560">
        <f t="shared" si="52"/>
        <v>773.847</v>
      </c>
      <c r="J91" s="560">
        <f t="shared" si="53"/>
        <v>0</v>
      </c>
      <c r="K91" s="560"/>
      <c r="L91" s="560">
        <f t="shared" si="54"/>
        <v>773.847</v>
      </c>
      <c r="M91" s="560">
        <v>773.847</v>
      </c>
      <c r="N91" s="560">
        <f t="shared" si="55"/>
        <v>0</v>
      </c>
      <c r="O91" s="560">
        <f t="shared" si="56"/>
        <v>0</v>
      </c>
      <c r="P91" s="560"/>
      <c r="Q91" s="560">
        <f t="shared" si="57"/>
        <v>0</v>
      </c>
      <c r="R91" s="560"/>
      <c r="S91" s="584">
        <f t="shared" si="58"/>
        <v>0.8956562499999999</v>
      </c>
      <c r="T91" s="584" t="e">
        <f t="shared" si="59"/>
        <v>#DIV/0!</v>
      </c>
      <c r="U91" s="584">
        <f t="shared" si="60"/>
        <v>0.8956562499999999</v>
      </c>
      <c r="V91" s="560"/>
      <c r="W91" s="596"/>
    </row>
    <row r="92" spans="1:23" s="238" customFormat="1" ht="90">
      <c r="A92" s="561" t="s">
        <v>773</v>
      </c>
      <c r="B92" s="562" t="s">
        <v>772</v>
      </c>
      <c r="C92" s="560">
        <f>C93</f>
        <v>39</v>
      </c>
      <c r="D92" s="560">
        <f aca="true" t="shared" si="66" ref="D92:R92">D93</f>
        <v>0</v>
      </c>
      <c r="E92" s="560">
        <f t="shared" si="66"/>
        <v>39</v>
      </c>
      <c r="F92" s="560">
        <f t="shared" si="66"/>
        <v>53</v>
      </c>
      <c r="G92" s="560">
        <f t="shared" si="66"/>
        <v>0</v>
      </c>
      <c r="H92" s="560">
        <f t="shared" si="66"/>
        <v>53</v>
      </c>
      <c r="I92" s="560">
        <f t="shared" si="66"/>
        <v>53</v>
      </c>
      <c r="J92" s="560">
        <f t="shared" si="66"/>
        <v>0</v>
      </c>
      <c r="K92" s="560">
        <f t="shared" si="66"/>
        <v>0</v>
      </c>
      <c r="L92" s="560">
        <f t="shared" si="66"/>
        <v>53</v>
      </c>
      <c r="M92" s="560">
        <f t="shared" si="66"/>
        <v>53</v>
      </c>
      <c r="N92" s="560">
        <f t="shared" si="66"/>
        <v>0</v>
      </c>
      <c r="O92" s="560">
        <f t="shared" si="66"/>
        <v>0</v>
      </c>
      <c r="P92" s="560">
        <f t="shared" si="66"/>
        <v>0</v>
      </c>
      <c r="Q92" s="560">
        <f t="shared" si="66"/>
        <v>0</v>
      </c>
      <c r="R92" s="560">
        <f t="shared" si="66"/>
        <v>0</v>
      </c>
      <c r="S92" s="584">
        <f t="shared" si="58"/>
        <v>1.358974358974359</v>
      </c>
      <c r="T92" s="584" t="e">
        <f t="shared" si="59"/>
        <v>#DIV/0!</v>
      </c>
      <c r="U92" s="584">
        <f t="shared" si="60"/>
        <v>1.358974358974359</v>
      </c>
      <c r="V92" s="560"/>
      <c r="W92" s="596"/>
    </row>
    <row r="93" spans="1:23" s="238" customFormat="1" ht="18">
      <c r="A93" s="561"/>
      <c r="B93" s="562" t="s">
        <v>452</v>
      </c>
      <c r="C93" s="560">
        <f t="shared" si="48"/>
        <v>39</v>
      </c>
      <c r="D93" s="560"/>
      <c r="E93" s="560">
        <v>39</v>
      </c>
      <c r="F93" s="560">
        <f t="shared" si="49"/>
        <v>53</v>
      </c>
      <c r="G93" s="560">
        <f t="shared" si="50"/>
        <v>0</v>
      </c>
      <c r="H93" s="560">
        <f t="shared" si="51"/>
        <v>53</v>
      </c>
      <c r="I93" s="560">
        <f t="shared" si="52"/>
        <v>53</v>
      </c>
      <c r="J93" s="560">
        <f t="shared" si="53"/>
        <v>0</v>
      </c>
      <c r="K93" s="560"/>
      <c r="L93" s="560">
        <f t="shared" si="54"/>
        <v>53</v>
      </c>
      <c r="M93" s="560">
        <v>53</v>
      </c>
      <c r="N93" s="560">
        <f t="shared" si="55"/>
        <v>0</v>
      </c>
      <c r="O93" s="560">
        <f t="shared" si="56"/>
        <v>0</v>
      </c>
      <c r="P93" s="560"/>
      <c r="Q93" s="560">
        <f t="shared" si="57"/>
        <v>0</v>
      </c>
      <c r="R93" s="560"/>
      <c r="S93" s="584">
        <f t="shared" si="58"/>
        <v>1.358974358974359</v>
      </c>
      <c r="T93" s="584" t="e">
        <f t="shared" si="59"/>
        <v>#DIV/0!</v>
      </c>
      <c r="U93" s="584">
        <f t="shared" si="60"/>
        <v>1.358974358974359</v>
      </c>
      <c r="V93" s="560"/>
      <c r="W93" s="596"/>
    </row>
    <row r="94" spans="1:23" s="238" customFormat="1" ht="54">
      <c r="A94" s="561" t="s">
        <v>774</v>
      </c>
      <c r="B94" s="562" t="s">
        <v>775</v>
      </c>
      <c r="C94" s="560">
        <f aca="true" t="shared" si="67" ref="C94:R94">SUM(C95:C100)</f>
        <v>327</v>
      </c>
      <c r="D94" s="560">
        <f t="shared" si="67"/>
        <v>0</v>
      </c>
      <c r="E94" s="560">
        <f t="shared" si="67"/>
        <v>327</v>
      </c>
      <c r="F94" s="560">
        <f t="shared" si="67"/>
        <v>72.3486</v>
      </c>
      <c r="G94" s="560">
        <f t="shared" si="67"/>
        <v>0</v>
      </c>
      <c r="H94" s="560">
        <f t="shared" si="67"/>
        <v>72.3486</v>
      </c>
      <c r="I94" s="560">
        <f t="shared" si="67"/>
        <v>72.3486</v>
      </c>
      <c r="J94" s="560">
        <f t="shared" si="67"/>
        <v>0</v>
      </c>
      <c r="K94" s="560">
        <f t="shared" si="67"/>
        <v>0</v>
      </c>
      <c r="L94" s="560">
        <f t="shared" si="67"/>
        <v>72.3486</v>
      </c>
      <c r="M94" s="560">
        <f t="shared" si="67"/>
        <v>72.3486</v>
      </c>
      <c r="N94" s="560">
        <f t="shared" si="67"/>
        <v>0</v>
      </c>
      <c r="O94" s="560">
        <f t="shared" si="67"/>
        <v>0</v>
      </c>
      <c r="P94" s="560">
        <f t="shared" si="67"/>
        <v>0</v>
      </c>
      <c r="Q94" s="560">
        <f t="shared" si="67"/>
        <v>0</v>
      </c>
      <c r="R94" s="560">
        <f t="shared" si="67"/>
        <v>0</v>
      </c>
      <c r="S94" s="584">
        <f t="shared" si="58"/>
        <v>0.2212495412844037</v>
      </c>
      <c r="T94" s="584" t="e">
        <f t="shared" si="59"/>
        <v>#DIV/0!</v>
      </c>
      <c r="U94" s="584">
        <f t="shared" si="60"/>
        <v>0.2212495412844037</v>
      </c>
      <c r="V94" s="560"/>
      <c r="W94" s="596"/>
    </row>
    <row r="95" spans="1:23" s="238" customFormat="1" ht="36">
      <c r="A95" s="563"/>
      <c r="B95" s="562" t="s">
        <v>540</v>
      </c>
      <c r="C95" s="560">
        <f t="shared" si="48"/>
        <v>30</v>
      </c>
      <c r="D95" s="560"/>
      <c r="E95" s="560">
        <v>30</v>
      </c>
      <c r="F95" s="560">
        <f t="shared" si="49"/>
        <v>14.2436</v>
      </c>
      <c r="G95" s="560">
        <f t="shared" si="50"/>
        <v>0</v>
      </c>
      <c r="H95" s="560">
        <f t="shared" si="51"/>
        <v>14.2436</v>
      </c>
      <c r="I95" s="560">
        <f t="shared" si="52"/>
        <v>14.2436</v>
      </c>
      <c r="J95" s="560">
        <f t="shared" si="53"/>
        <v>0</v>
      </c>
      <c r="K95" s="560"/>
      <c r="L95" s="560">
        <f t="shared" si="54"/>
        <v>14.2436</v>
      </c>
      <c r="M95" s="560">
        <v>14.2436</v>
      </c>
      <c r="N95" s="560">
        <f t="shared" si="55"/>
        <v>0</v>
      </c>
      <c r="O95" s="560">
        <f t="shared" si="56"/>
        <v>0</v>
      </c>
      <c r="P95" s="560"/>
      <c r="Q95" s="560">
        <f t="shared" si="57"/>
        <v>0</v>
      </c>
      <c r="R95" s="560"/>
      <c r="S95" s="584">
        <f t="shared" si="58"/>
        <v>0.4747866666666667</v>
      </c>
      <c r="T95" s="584" t="e">
        <f t="shared" si="59"/>
        <v>#DIV/0!</v>
      </c>
      <c r="U95" s="584">
        <f t="shared" si="60"/>
        <v>0.4747866666666667</v>
      </c>
      <c r="V95" s="560"/>
      <c r="W95" s="596"/>
    </row>
    <row r="96" spans="1:23" s="238" customFormat="1" ht="18">
      <c r="A96" s="563"/>
      <c r="B96" s="562" t="s">
        <v>532</v>
      </c>
      <c r="C96" s="560">
        <f t="shared" si="48"/>
        <v>5</v>
      </c>
      <c r="D96" s="560"/>
      <c r="E96" s="560">
        <v>5</v>
      </c>
      <c r="F96" s="560">
        <f t="shared" si="49"/>
        <v>0</v>
      </c>
      <c r="G96" s="560">
        <f t="shared" si="50"/>
        <v>0</v>
      </c>
      <c r="H96" s="560">
        <f t="shared" si="51"/>
        <v>0</v>
      </c>
      <c r="I96" s="560">
        <f t="shared" si="52"/>
        <v>0</v>
      </c>
      <c r="J96" s="560">
        <f t="shared" si="53"/>
        <v>0</v>
      </c>
      <c r="K96" s="560"/>
      <c r="L96" s="560">
        <f t="shared" si="54"/>
        <v>0</v>
      </c>
      <c r="M96" s="560">
        <v>0</v>
      </c>
      <c r="N96" s="560">
        <f t="shared" si="55"/>
        <v>0</v>
      </c>
      <c r="O96" s="560">
        <f t="shared" si="56"/>
        <v>0</v>
      </c>
      <c r="P96" s="560"/>
      <c r="Q96" s="560">
        <f t="shared" si="57"/>
        <v>0</v>
      </c>
      <c r="R96" s="560"/>
      <c r="S96" s="584">
        <f t="shared" si="58"/>
        <v>0</v>
      </c>
      <c r="T96" s="584" t="e">
        <f t="shared" si="59"/>
        <v>#DIV/0!</v>
      </c>
      <c r="U96" s="584">
        <f t="shared" si="60"/>
        <v>0</v>
      </c>
      <c r="V96" s="560"/>
      <c r="W96" s="596"/>
    </row>
    <row r="97" spans="1:23" s="238" customFormat="1" ht="18">
      <c r="A97" s="561"/>
      <c r="B97" s="566" t="s">
        <v>536</v>
      </c>
      <c r="C97" s="560">
        <f t="shared" si="48"/>
        <v>272</v>
      </c>
      <c r="D97" s="560"/>
      <c r="E97" s="560">
        <f>150+122</f>
        <v>272</v>
      </c>
      <c r="F97" s="560">
        <f t="shared" si="49"/>
        <v>39.833</v>
      </c>
      <c r="G97" s="560">
        <f t="shared" si="50"/>
        <v>0</v>
      </c>
      <c r="H97" s="560">
        <f t="shared" si="51"/>
        <v>39.833</v>
      </c>
      <c r="I97" s="560">
        <f t="shared" si="52"/>
        <v>39.833</v>
      </c>
      <c r="J97" s="560">
        <f t="shared" si="53"/>
        <v>0</v>
      </c>
      <c r="K97" s="560"/>
      <c r="L97" s="560">
        <f t="shared" si="54"/>
        <v>39.833</v>
      </c>
      <c r="M97" s="560">
        <v>39.833</v>
      </c>
      <c r="N97" s="560">
        <f t="shared" si="55"/>
        <v>0</v>
      </c>
      <c r="O97" s="560">
        <f t="shared" si="56"/>
        <v>0</v>
      </c>
      <c r="P97" s="560"/>
      <c r="Q97" s="560">
        <f t="shared" si="57"/>
        <v>0</v>
      </c>
      <c r="R97" s="560"/>
      <c r="S97" s="584">
        <f t="shared" si="58"/>
        <v>0.14644485294117646</v>
      </c>
      <c r="T97" s="584" t="e">
        <f t="shared" si="59"/>
        <v>#DIV/0!</v>
      </c>
      <c r="U97" s="584">
        <f t="shared" si="60"/>
        <v>0.14644485294117646</v>
      </c>
      <c r="V97" s="560"/>
      <c r="W97" s="596"/>
    </row>
    <row r="98" spans="1:23" s="238" customFormat="1" ht="18">
      <c r="A98" s="561"/>
      <c r="B98" s="562" t="s">
        <v>452</v>
      </c>
      <c r="C98" s="560">
        <f t="shared" si="48"/>
        <v>10</v>
      </c>
      <c r="D98" s="560"/>
      <c r="E98" s="560">
        <v>10</v>
      </c>
      <c r="F98" s="560">
        <f t="shared" si="49"/>
        <v>10</v>
      </c>
      <c r="G98" s="560">
        <f t="shared" si="50"/>
        <v>0</v>
      </c>
      <c r="H98" s="560">
        <f t="shared" si="51"/>
        <v>10</v>
      </c>
      <c r="I98" s="560">
        <f t="shared" si="52"/>
        <v>10</v>
      </c>
      <c r="J98" s="560">
        <f t="shared" si="53"/>
        <v>0</v>
      </c>
      <c r="K98" s="560"/>
      <c r="L98" s="560">
        <f t="shared" si="54"/>
        <v>10</v>
      </c>
      <c r="M98" s="560">
        <v>10</v>
      </c>
      <c r="N98" s="560">
        <f t="shared" si="55"/>
        <v>0</v>
      </c>
      <c r="O98" s="560">
        <f t="shared" si="56"/>
        <v>0</v>
      </c>
      <c r="P98" s="560"/>
      <c r="Q98" s="560">
        <f t="shared" si="57"/>
        <v>0</v>
      </c>
      <c r="R98" s="560"/>
      <c r="S98" s="584">
        <f t="shared" si="58"/>
        <v>1</v>
      </c>
      <c r="T98" s="584" t="e">
        <f t="shared" si="59"/>
        <v>#DIV/0!</v>
      </c>
      <c r="U98" s="584">
        <f t="shared" si="60"/>
        <v>1</v>
      </c>
      <c r="V98" s="560"/>
      <c r="W98" s="596"/>
    </row>
    <row r="99" spans="1:23" s="238" customFormat="1" ht="18">
      <c r="A99" s="561"/>
      <c r="B99" s="566" t="s">
        <v>563</v>
      </c>
      <c r="C99" s="560">
        <f t="shared" si="48"/>
        <v>5</v>
      </c>
      <c r="D99" s="560"/>
      <c r="E99" s="560">
        <v>5</v>
      </c>
      <c r="F99" s="560">
        <f t="shared" si="49"/>
        <v>3.28</v>
      </c>
      <c r="G99" s="560">
        <f t="shared" si="50"/>
        <v>0</v>
      </c>
      <c r="H99" s="560">
        <f t="shared" si="51"/>
        <v>3.28</v>
      </c>
      <c r="I99" s="560">
        <f t="shared" si="52"/>
        <v>3.28</v>
      </c>
      <c r="J99" s="560">
        <f t="shared" si="53"/>
        <v>0</v>
      </c>
      <c r="K99" s="560"/>
      <c r="L99" s="560">
        <f t="shared" si="54"/>
        <v>3.28</v>
      </c>
      <c r="M99" s="560">
        <v>3.28</v>
      </c>
      <c r="N99" s="560">
        <f t="shared" si="55"/>
        <v>0</v>
      </c>
      <c r="O99" s="560">
        <f t="shared" si="56"/>
        <v>0</v>
      </c>
      <c r="P99" s="560"/>
      <c r="Q99" s="560">
        <f t="shared" si="57"/>
        <v>0</v>
      </c>
      <c r="R99" s="560"/>
      <c r="S99" s="584">
        <f t="shared" si="58"/>
        <v>0.6559999999999999</v>
      </c>
      <c r="T99" s="584" t="e">
        <f t="shared" si="59"/>
        <v>#DIV/0!</v>
      </c>
      <c r="U99" s="584">
        <f t="shared" si="60"/>
        <v>0.6559999999999999</v>
      </c>
      <c r="V99" s="560"/>
      <c r="W99" s="596"/>
    </row>
    <row r="100" spans="1:23" s="238" customFormat="1" ht="18">
      <c r="A100" s="561"/>
      <c r="B100" s="566" t="s">
        <v>733</v>
      </c>
      <c r="C100" s="560">
        <f t="shared" si="48"/>
        <v>5</v>
      </c>
      <c r="D100" s="560"/>
      <c r="E100" s="560">
        <v>5</v>
      </c>
      <c r="F100" s="560">
        <f t="shared" si="49"/>
        <v>4.992</v>
      </c>
      <c r="G100" s="560">
        <f t="shared" si="50"/>
        <v>0</v>
      </c>
      <c r="H100" s="560">
        <f t="shared" si="51"/>
        <v>4.992</v>
      </c>
      <c r="I100" s="560">
        <f t="shared" si="52"/>
        <v>4.992</v>
      </c>
      <c r="J100" s="560">
        <f t="shared" si="53"/>
        <v>0</v>
      </c>
      <c r="K100" s="560"/>
      <c r="L100" s="560">
        <f t="shared" si="54"/>
        <v>4.992</v>
      </c>
      <c r="M100" s="560">
        <v>4.992</v>
      </c>
      <c r="N100" s="560">
        <f t="shared" si="55"/>
        <v>0</v>
      </c>
      <c r="O100" s="560">
        <f t="shared" si="56"/>
        <v>0</v>
      </c>
      <c r="P100" s="560"/>
      <c r="Q100" s="560">
        <f t="shared" si="57"/>
        <v>0</v>
      </c>
      <c r="R100" s="560"/>
      <c r="S100" s="584">
        <f t="shared" si="58"/>
        <v>0.9984</v>
      </c>
      <c r="T100" s="584" t="e">
        <f t="shared" si="59"/>
        <v>#DIV/0!</v>
      </c>
      <c r="U100" s="584">
        <f t="shared" si="60"/>
        <v>0.9984</v>
      </c>
      <c r="V100" s="560"/>
      <c r="W100" s="596"/>
    </row>
    <row r="101" spans="1:23" s="236" customFormat="1" ht="31.5" customHeight="1">
      <c r="A101" s="550" t="s">
        <v>31</v>
      </c>
      <c r="B101" s="551" t="s">
        <v>496</v>
      </c>
      <c r="C101" s="553">
        <f aca="true" t="shared" si="68" ref="C101:R101">C102+C120+C155</f>
        <v>45302.98315</v>
      </c>
      <c r="D101" s="553">
        <f t="shared" si="68"/>
        <v>9324</v>
      </c>
      <c r="E101" s="553">
        <f t="shared" si="68"/>
        <v>35978.98315</v>
      </c>
      <c r="F101" s="553">
        <f t="shared" si="68"/>
        <v>35145.91445</v>
      </c>
      <c r="G101" s="553">
        <f t="shared" si="68"/>
        <v>10339.117</v>
      </c>
      <c r="H101" s="553">
        <f t="shared" si="68"/>
        <v>24806.79745</v>
      </c>
      <c r="I101" s="553">
        <f t="shared" si="68"/>
        <v>35145.91445</v>
      </c>
      <c r="J101" s="553">
        <f t="shared" si="68"/>
        <v>10339.117</v>
      </c>
      <c r="K101" s="553">
        <f t="shared" si="68"/>
        <v>10339.117</v>
      </c>
      <c r="L101" s="553">
        <f t="shared" si="68"/>
        <v>24806.79745</v>
      </c>
      <c r="M101" s="553">
        <f t="shared" si="68"/>
        <v>24806.79745</v>
      </c>
      <c r="N101" s="553">
        <f t="shared" si="68"/>
        <v>0</v>
      </c>
      <c r="O101" s="553">
        <f t="shared" si="68"/>
        <v>0</v>
      </c>
      <c r="P101" s="553">
        <f t="shared" si="68"/>
        <v>0</v>
      </c>
      <c r="Q101" s="553">
        <f t="shared" si="68"/>
        <v>0</v>
      </c>
      <c r="R101" s="553">
        <f t="shared" si="68"/>
        <v>0</v>
      </c>
      <c r="S101" s="584">
        <f t="shared" si="58"/>
        <v>0.7757969123938364</v>
      </c>
      <c r="T101" s="584">
        <f t="shared" si="59"/>
        <v>1.1088714071214072</v>
      </c>
      <c r="U101" s="584">
        <f t="shared" si="60"/>
        <v>0.6894802264582621</v>
      </c>
      <c r="V101" s="553"/>
      <c r="W101" s="597"/>
    </row>
    <row r="102" spans="1:23" s="236" customFormat="1" ht="52.5">
      <c r="A102" s="554" t="s">
        <v>35</v>
      </c>
      <c r="B102" s="555" t="s">
        <v>535</v>
      </c>
      <c r="C102" s="553">
        <f>C103+C112</f>
        <v>5613</v>
      </c>
      <c r="D102" s="553">
        <f aca="true" t="shared" si="69" ref="D102:R102">D103+D112</f>
        <v>0</v>
      </c>
      <c r="E102" s="553">
        <f t="shared" si="69"/>
        <v>5613</v>
      </c>
      <c r="F102" s="553">
        <f t="shared" si="69"/>
        <v>6676.623</v>
      </c>
      <c r="G102" s="553">
        <f t="shared" si="69"/>
        <v>0</v>
      </c>
      <c r="H102" s="553">
        <f t="shared" si="69"/>
        <v>6676.623</v>
      </c>
      <c r="I102" s="553">
        <f t="shared" si="69"/>
        <v>6676.623</v>
      </c>
      <c r="J102" s="553">
        <f t="shared" si="69"/>
        <v>0</v>
      </c>
      <c r="K102" s="553">
        <f t="shared" si="69"/>
        <v>0</v>
      </c>
      <c r="L102" s="553">
        <f t="shared" si="69"/>
        <v>6676.623</v>
      </c>
      <c r="M102" s="553">
        <f t="shared" si="69"/>
        <v>6676.623</v>
      </c>
      <c r="N102" s="553">
        <f t="shared" si="69"/>
        <v>0</v>
      </c>
      <c r="O102" s="553">
        <f t="shared" si="69"/>
        <v>0</v>
      </c>
      <c r="P102" s="553">
        <f t="shared" si="69"/>
        <v>0</v>
      </c>
      <c r="Q102" s="553">
        <f t="shared" si="69"/>
        <v>0</v>
      </c>
      <c r="R102" s="553">
        <f t="shared" si="69"/>
        <v>0</v>
      </c>
      <c r="S102" s="584">
        <f t="shared" si="58"/>
        <v>1.189492784607162</v>
      </c>
      <c r="T102" s="584" t="e">
        <f t="shared" si="59"/>
        <v>#DIV/0!</v>
      </c>
      <c r="U102" s="584">
        <f t="shared" si="60"/>
        <v>1.189492784607162</v>
      </c>
      <c r="V102" s="553"/>
      <c r="W102" s="597"/>
    </row>
    <row r="103" spans="1:23" s="238" customFormat="1" ht="52.5">
      <c r="A103" s="568">
        <v>1</v>
      </c>
      <c r="B103" s="569" t="s">
        <v>740</v>
      </c>
      <c r="C103" s="553">
        <f>C104</f>
        <v>3895</v>
      </c>
      <c r="D103" s="553">
        <f aca="true" t="shared" si="70" ref="D103:R103">D104</f>
        <v>0</v>
      </c>
      <c r="E103" s="553">
        <f t="shared" si="70"/>
        <v>3895</v>
      </c>
      <c r="F103" s="553">
        <f t="shared" si="70"/>
        <v>4453.7426</v>
      </c>
      <c r="G103" s="553">
        <f t="shared" si="70"/>
        <v>0</v>
      </c>
      <c r="H103" s="553">
        <f t="shared" si="70"/>
        <v>4453.7426</v>
      </c>
      <c r="I103" s="553">
        <f t="shared" si="70"/>
        <v>4453.7426</v>
      </c>
      <c r="J103" s="553">
        <f t="shared" si="70"/>
        <v>0</v>
      </c>
      <c r="K103" s="553">
        <f t="shared" si="70"/>
        <v>0</v>
      </c>
      <c r="L103" s="553">
        <f t="shared" si="70"/>
        <v>4453.7426</v>
      </c>
      <c r="M103" s="553">
        <f t="shared" si="70"/>
        <v>4453.7426</v>
      </c>
      <c r="N103" s="553">
        <f t="shared" si="70"/>
        <v>0</v>
      </c>
      <c r="O103" s="553">
        <f t="shared" si="70"/>
        <v>0</v>
      </c>
      <c r="P103" s="553">
        <f t="shared" si="70"/>
        <v>0</v>
      </c>
      <c r="Q103" s="553">
        <f t="shared" si="70"/>
        <v>0</v>
      </c>
      <c r="R103" s="553">
        <f t="shared" si="70"/>
        <v>0</v>
      </c>
      <c r="S103" s="584">
        <f t="shared" si="58"/>
        <v>1.143451245186136</v>
      </c>
      <c r="T103" s="584" t="e">
        <f t="shared" si="59"/>
        <v>#DIV/0!</v>
      </c>
      <c r="U103" s="584">
        <f t="shared" si="60"/>
        <v>1.143451245186136</v>
      </c>
      <c r="V103" s="553"/>
      <c r="W103" s="597"/>
    </row>
    <row r="104" spans="1:23" s="238" customFormat="1" ht="31.5" customHeight="1">
      <c r="A104" s="570" t="s">
        <v>250</v>
      </c>
      <c r="B104" s="571" t="s">
        <v>567</v>
      </c>
      <c r="C104" s="560">
        <f>SUM(C105:C111)</f>
        <v>3895</v>
      </c>
      <c r="D104" s="560">
        <f aca="true" t="shared" si="71" ref="D104:R104">SUM(D105:D111)</f>
        <v>0</v>
      </c>
      <c r="E104" s="560">
        <f t="shared" si="71"/>
        <v>3895</v>
      </c>
      <c r="F104" s="560">
        <f t="shared" si="71"/>
        <v>4453.7426</v>
      </c>
      <c r="G104" s="560">
        <f t="shared" si="71"/>
        <v>0</v>
      </c>
      <c r="H104" s="560">
        <f t="shared" si="71"/>
        <v>4453.7426</v>
      </c>
      <c r="I104" s="560">
        <f t="shared" si="71"/>
        <v>4453.7426</v>
      </c>
      <c r="J104" s="560">
        <f t="shared" si="71"/>
        <v>0</v>
      </c>
      <c r="K104" s="560">
        <f t="shared" si="71"/>
        <v>0</v>
      </c>
      <c r="L104" s="560">
        <f t="shared" si="71"/>
        <v>4453.7426</v>
      </c>
      <c r="M104" s="560">
        <f t="shared" si="71"/>
        <v>4453.7426</v>
      </c>
      <c r="N104" s="560">
        <f t="shared" si="71"/>
        <v>0</v>
      </c>
      <c r="O104" s="560">
        <f t="shared" si="71"/>
        <v>0</v>
      </c>
      <c r="P104" s="560">
        <f t="shared" si="71"/>
        <v>0</v>
      </c>
      <c r="Q104" s="560">
        <f t="shared" si="71"/>
        <v>0</v>
      </c>
      <c r="R104" s="560">
        <f t="shared" si="71"/>
        <v>0</v>
      </c>
      <c r="S104" s="584">
        <f t="shared" si="58"/>
        <v>1.143451245186136</v>
      </c>
      <c r="T104" s="584" t="e">
        <f t="shared" si="59"/>
        <v>#DIV/0!</v>
      </c>
      <c r="U104" s="584">
        <f t="shared" si="60"/>
        <v>1.143451245186136</v>
      </c>
      <c r="V104" s="560"/>
      <c r="W104" s="597"/>
    </row>
    <row r="105" spans="1:23" s="238" customFormat="1" ht="31.5" customHeight="1">
      <c r="A105" s="570"/>
      <c r="B105" s="562" t="s">
        <v>554</v>
      </c>
      <c r="C105" s="560">
        <f t="shared" si="48"/>
        <v>248</v>
      </c>
      <c r="D105" s="560"/>
      <c r="E105" s="560">
        <v>248</v>
      </c>
      <c r="F105" s="560">
        <f t="shared" si="49"/>
        <v>316.945</v>
      </c>
      <c r="G105" s="560">
        <f t="shared" si="50"/>
        <v>0</v>
      </c>
      <c r="H105" s="560">
        <f t="shared" si="51"/>
        <v>316.945</v>
      </c>
      <c r="I105" s="560">
        <f t="shared" si="52"/>
        <v>316.945</v>
      </c>
      <c r="J105" s="560">
        <f t="shared" si="53"/>
        <v>0</v>
      </c>
      <c r="K105" s="560"/>
      <c r="L105" s="560">
        <f t="shared" si="54"/>
        <v>316.945</v>
      </c>
      <c r="M105" s="560">
        <v>316.945</v>
      </c>
      <c r="N105" s="560">
        <f t="shared" si="55"/>
        <v>0</v>
      </c>
      <c r="O105" s="560">
        <f t="shared" si="56"/>
        <v>0</v>
      </c>
      <c r="P105" s="560"/>
      <c r="Q105" s="560">
        <f t="shared" si="57"/>
        <v>0</v>
      </c>
      <c r="R105" s="560"/>
      <c r="S105" s="584">
        <f t="shared" si="58"/>
        <v>1.2780040322580646</v>
      </c>
      <c r="T105" s="584" t="e">
        <f t="shared" si="59"/>
        <v>#DIV/0!</v>
      </c>
      <c r="U105" s="584">
        <f t="shared" si="60"/>
        <v>1.2780040322580646</v>
      </c>
      <c r="V105" s="560"/>
      <c r="W105" s="596"/>
    </row>
    <row r="106" spans="1:23" s="238" customFormat="1" ht="31.5" customHeight="1">
      <c r="A106" s="570"/>
      <c r="B106" s="562" t="s">
        <v>559</v>
      </c>
      <c r="C106" s="560">
        <f t="shared" si="48"/>
        <v>453</v>
      </c>
      <c r="D106" s="560"/>
      <c r="E106" s="560">
        <v>453</v>
      </c>
      <c r="F106" s="560">
        <f t="shared" si="49"/>
        <v>445.578</v>
      </c>
      <c r="G106" s="560">
        <f t="shared" si="50"/>
        <v>0</v>
      </c>
      <c r="H106" s="560">
        <f t="shared" si="51"/>
        <v>445.578</v>
      </c>
      <c r="I106" s="560">
        <f t="shared" si="52"/>
        <v>445.578</v>
      </c>
      <c r="J106" s="560">
        <f t="shared" si="53"/>
        <v>0</v>
      </c>
      <c r="K106" s="560"/>
      <c r="L106" s="560">
        <f t="shared" si="54"/>
        <v>445.578</v>
      </c>
      <c r="M106" s="560">
        <v>445.578</v>
      </c>
      <c r="N106" s="560">
        <f t="shared" si="55"/>
        <v>0</v>
      </c>
      <c r="O106" s="560">
        <f t="shared" si="56"/>
        <v>0</v>
      </c>
      <c r="P106" s="560"/>
      <c r="Q106" s="560">
        <f t="shared" si="57"/>
        <v>0</v>
      </c>
      <c r="R106" s="560"/>
      <c r="S106" s="584">
        <f t="shared" si="58"/>
        <v>0.983615894039735</v>
      </c>
      <c r="T106" s="584" t="e">
        <f t="shared" si="59"/>
        <v>#DIV/0!</v>
      </c>
      <c r="U106" s="584">
        <f t="shared" si="60"/>
        <v>0.983615894039735</v>
      </c>
      <c r="V106" s="560"/>
      <c r="W106" s="596"/>
    </row>
    <row r="107" spans="1:23" s="238" customFormat="1" ht="31.5" customHeight="1">
      <c r="A107" s="570"/>
      <c r="B107" s="562" t="s">
        <v>555</v>
      </c>
      <c r="C107" s="560">
        <f t="shared" si="48"/>
        <v>502</v>
      </c>
      <c r="D107" s="560"/>
      <c r="E107" s="560">
        <v>502</v>
      </c>
      <c r="F107" s="560">
        <f t="shared" si="49"/>
        <v>228.191</v>
      </c>
      <c r="G107" s="560">
        <f t="shared" si="50"/>
        <v>0</v>
      </c>
      <c r="H107" s="560">
        <f t="shared" si="51"/>
        <v>228.191</v>
      </c>
      <c r="I107" s="560">
        <f t="shared" si="52"/>
        <v>228.191</v>
      </c>
      <c r="J107" s="560">
        <f t="shared" si="53"/>
        <v>0</v>
      </c>
      <c r="K107" s="560"/>
      <c r="L107" s="560">
        <f t="shared" si="54"/>
        <v>228.191</v>
      </c>
      <c r="M107" s="560">
        <v>228.191</v>
      </c>
      <c r="N107" s="560">
        <f t="shared" si="55"/>
        <v>0</v>
      </c>
      <c r="O107" s="560">
        <f t="shared" si="56"/>
        <v>0</v>
      </c>
      <c r="P107" s="560"/>
      <c r="Q107" s="560">
        <f t="shared" si="57"/>
        <v>0</v>
      </c>
      <c r="R107" s="560"/>
      <c r="S107" s="584">
        <f t="shared" si="58"/>
        <v>0.4545637450199203</v>
      </c>
      <c r="T107" s="584" t="e">
        <f t="shared" si="59"/>
        <v>#DIV/0!</v>
      </c>
      <c r="U107" s="584">
        <f t="shared" si="60"/>
        <v>0.4545637450199203</v>
      </c>
      <c r="V107" s="560"/>
      <c r="W107" s="596"/>
    </row>
    <row r="108" spans="1:23" s="238" customFormat="1" ht="31.5" customHeight="1">
      <c r="A108" s="570"/>
      <c r="B108" s="562" t="s">
        <v>557</v>
      </c>
      <c r="C108" s="560">
        <f t="shared" si="48"/>
        <v>1324</v>
      </c>
      <c r="D108" s="560"/>
      <c r="E108" s="560">
        <v>1324</v>
      </c>
      <c r="F108" s="560">
        <f t="shared" si="49"/>
        <v>1662.8</v>
      </c>
      <c r="G108" s="560">
        <f t="shared" si="50"/>
        <v>0</v>
      </c>
      <c r="H108" s="560">
        <f t="shared" si="51"/>
        <v>1662.8</v>
      </c>
      <c r="I108" s="560">
        <f t="shared" si="52"/>
        <v>1662.8</v>
      </c>
      <c r="J108" s="560">
        <f t="shared" si="53"/>
        <v>0</v>
      </c>
      <c r="K108" s="560"/>
      <c r="L108" s="560">
        <f t="shared" si="54"/>
        <v>1662.8</v>
      </c>
      <c r="M108" s="560">
        <v>1662.8</v>
      </c>
      <c r="N108" s="560">
        <f t="shared" si="55"/>
        <v>0</v>
      </c>
      <c r="O108" s="560">
        <f t="shared" si="56"/>
        <v>0</v>
      </c>
      <c r="P108" s="560"/>
      <c r="Q108" s="560">
        <f t="shared" si="57"/>
        <v>0</v>
      </c>
      <c r="R108" s="560"/>
      <c r="S108" s="584">
        <f t="shared" si="58"/>
        <v>1.2558912386706949</v>
      </c>
      <c r="T108" s="584" t="e">
        <f t="shared" si="59"/>
        <v>#DIV/0!</v>
      </c>
      <c r="U108" s="584">
        <f t="shared" si="60"/>
        <v>1.2558912386706949</v>
      </c>
      <c r="V108" s="560"/>
      <c r="W108" s="596"/>
    </row>
    <row r="109" spans="1:23" s="238" customFormat="1" ht="31.5" customHeight="1">
      <c r="A109" s="570"/>
      <c r="B109" s="562" t="s">
        <v>556</v>
      </c>
      <c r="C109" s="560">
        <f t="shared" si="48"/>
        <v>455</v>
      </c>
      <c r="D109" s="560"/>
      <c r="E109" s="560">
        <v>455</v>
      </c>
      <c r="F109" s="560">
        <f t="shared" si="49"/>
        <v>721.8826</v>
      </c>
      <c r="G109" s="560">
        <f t="shared" si="50"/>
        <v>0</v>
      </c>
      <c r="H109" s="560">
        <f t="shared" si="51"/>
        <v>721.8826</v>
      </c>
      <c r="I109" s="560">
        <f t="shared" si="52"/>
        <v>721.8826</v>
      </c>
      <c r="J109" s="560">
        <f t="shared" si="53"/>
        <v>0</v>
      </c>
      <c r="K109" s="560"/>
      <c r="L109" s="560">
        <f t="shared" si="54"/>
        <v>721.8826</v>
      </c>
      <c r="M109" s="560">
        <v>721.8826</v>
      </c>
      <c r="N109" s="560">
        <f t="shared" si="55"/>
        <v>0</v>
      </c>
      <c r="O109" s="560">
        <f t="shared" si="56"/>
        <v>0</v>
      </c>
      <c r="P109" s="560"/>
      <c r="Q109" s="560">
        <f t="shared" si="57"/>
        <v>0</v>
      </c>
      <c r="R109" s="560"/>
      <c r="S109" s="584">
        <f t="shared" si="58"/>
        <v>1.5865551648351648</v>
      </c>
      <c r="T109" s="584" t="e">
        <f t="shared" si="59"/>
        <v>#DIV/0!</v>
      </c>
      <c r="U109" s="584">
        <f t="shared" si="60"/>
        <v>1.5865551648351648</v>
      </c>
      <c r="V109" s="560"/>
      <c r="W109" s="596"/>
    </row>
    <row r="110" spans="1:23" s="236" customFormat="1" ht="18">
      <c r="A110" s="570"/>
      <c r="B110" s="562" t="s">
        <v>558</v>
      </c>
      <c r="C110" s="560">
        <f t="shared" si="48"/>
        <v>913</v>
      </c>
      <c r="D110" s="560"/>
      <c r="E110" s="560">
        <v>913</v>
      </c>
      <c r="F110" s="560">
        <f t="shared" si="49"/>
        <v>1078.346</v>
      </c>
      <c r="G110" s="560">
        <f t="shared" si="50"/>
        <v>0</v>
      </c>
      <c r="H110" s="560">
        <f t="shared" si="51"/>
        <v>1078.346</v>
      </c>
      <c r="I110" s="560">
        <f t="shared" si="52"/>
        <v>1078.346</v>
      </c>
      <c r="J110" s="560">
        <f t="shared" si="53"/>
        <v>0</v>
      </c>
      <c r="K110" s="560"/>
      <c r="L110" s="560">
        <f t="shared" si="54"/>
        <v>1078.346</v>
      </c>
      <c r="M110" s="560">
        <v>1078.346</v>
      </c>
      <c r="N110" s="560">
        <f t="shared" si="55"/>
        <v>0</v>
      </c>
      <c r="O110" s="560">
        <f t="shared" si="56"/>
        <v>0</v>
      </c>
      <c r="P110" s="560"/>
      <c r="Q110" s="560">
        <f t="shared" si="57"/>
        <v>0</v>
      </c>
      <c r="R110" s="560"/>
      <c r="S110" s="584">
        <f t="shared" si="58"/>
        <v>1.1811018619934284</v>
      </c>
      <c r="T110" s="584" t="e">
        <f t="shared" si="59"/>
        <v>#DIV/0!</v>
      </c>
      <c r="U110" s="584">
        <f t="shared" si="60"/>
        <v>1.1811018619934284</v>
      </c>
      <c r="V110" s="560"/>
      <c r="W110" s="596"/>
    </row>
    <row r="111" spans="1:23" s="236" customFormat="1" ht="18">
      <c r="A111" s="570"/>
      <c r="B111" s="572" t="s">
        <v>768</v>
      </c>
      <c r="C111" s="560">
        <f t="shared" si="48"/>
        <v>0</v>
      </c>
      <c r="D111" s="560"/>
      <c r="E111" s="560"/>
      <c r="F111" s="560">
        <f t="shared" si="49"/>
        <v>0</v>
      </c>
      <c r="G111" s="560">
        <f t="shared" si="50"/>
        <v>0</v>
      </c>
      <c r="H111" s="560">
        <f t="shared" si="51"/>
        <v>0</v>
      </c>
      <c r="I111" s="560">
        <f t="shared" si="52"/>
        <v>0</v>
      </c>
      <c r="J111" s="560">
        <f t="shared" si="53"/>
        <v>0</v>
      </c>
      <c r="K111" s="560"/>
      <c r="L111" s="560">
        <f t="shared" si="54"/>
        <v>0</v>
      </c>
      <c r="M111" s="560"/>
      <c r="N111" s="560">
        <f t="shared" si="55"/>
        <v>0</v>
      </c>
      <c r="O111" s="560">
        <f t="shared" si="56"/>
        <v>0</v>
      </c>
      <c r="P111" s="560"/>
      <c r="Q111" s="560">
        <f t="shared" si="57"/>
        <v>0</v>
      </c>
      <c r="R111" s="560"/>
      <c r="S111" s="584" t="e">
        <f t="shared" si="58"/>
        <v>#DIV/0!</v>
      </c>
      <c r="T111" s="584" t="e">
        <f t="shared" si="59"/>
        <v>#DIV/0!</v>
      </c>
      <c r="U111" s="584" t="e">
        <f t="shared" si="60"/>
        <v>#DIV/0!</v>
      </c>
      <c r="V111" s="560"/>
      <c r="W111" s="596"/>
    </row>
    <row r="112" spans="1:23" s="238" customFormat="1" ht="52.5">
      <c r="A112" s="568">
        <v>2</v>
      </c>
      <c r="B112" s="555" t="s">
        <v>741</v>
      </c>
      <c r="C112" s="553">
        <f>C113</f>
        <v>1718</v>
      </c>
      <c r="D112" s="553">
        <f aca="true" t="shared" si="72" ref="D112:R112">D113</f>
        <v>0</v>
      </c>
      <c r="E112" s="553">
        <f t="shared" si="72"/>
        <v>1718</v>
      </c>
      <c r="F112" s="553">
        <f t="shared" si="72"/>
        <v>2222.8804</v>
      </c>
      <c r="G112" s="553">
        <f t="shared" si="72"/>
        <v>0</v>
      </c>
      <c r="H112" s="553">
        <f t="shared" si="72"/>
        <v>2222.8804</v>
      </c>
      <c r="I112" s="553">
        <f t="shared" si="72"/>
        <v>2222.8804</v>
      </c>
      <c r="J112" s="553">
        <f t="shared" si="72"/>
        <v>0</v>
      </c>
      <c r="K112" s="553">
        <f t="shared" si="72"/>
        <v>0</v>
      </c>
      <c r="L112" s="553">
        <f t="shared" si="72"/>
        <v>2222.8804</v>
      </c>
      <c r="M112" s="553">
        <f t="shared" si="72"/>
        <v>2222.8804</v>
      </c>
      <c r="N112" s="553">
        <f t="shared" si="72"/>
        <v>0</v>
      </c>
      <c r="O112" s="553">
        <f t="shared" si="72"/>
        <v>0</v>
      </c>
      <c r="P112" s="553">
        <f t="shared" si="72"/>
        <v>0</v>
      </c>
      <c r="Q112" s="553">
        <f t="shared" si="72"/>
        <v>0</v>
      </c>
      <c r="R112" s="553">
        <f t="shared" si="72"/>
        <v>0</v>
      </c>
      <c r="S112" s="584">
        <f t="shared" si="58"/>
        <v>1.2938768335273574</v>
      </c>
      <c r="T112" s="584" t="e">
        <f t="shared" si="59"/>
        <v>#DIV/0!</v>
      </c>
      <c r="U112" s="584">
        <f t="shared" si="60"/>
        <v>1.2938768335273574</v>
      </c>
      <c r="V112" s="553"/>
      <c r="W112" s="596"/>
    </row>
    <row r="113" spans="1:23" s="238" customFormat="1" ht="36">
      <c r="A113" s="570" t="s">
        <v>252</v>
      </c>
      <c r="B113" s="572" t="s">
        <v>566</v>
      </c>
      <c r="C113" s="560">
        <f>SUM(C114:C119)</f>
        <v>1718</v>
      </c>
      <c r="D113" s="560">
        <f aca="true" t="shared" si="73" ref="D113:R113">SUM(D114:D119)</f>
        <v>0</v>
      </c>
      <c r="E113" s="560">
        <f t="shared" si="73"/>
        <v>1718</v>
      </c>
      <c r="F113" s="560">
        <f t="shared" si="73"/>
        <v>2222.8804</v>
      </c>
      <c r="G113" s="560">
        <f t="shared" si="73"/>
        <v>0</v>
      </c>
      <c r="H113" s="560">
        <f t="shared" si="73"/>
        <v>2222.8804</v>
      </c>
      <c r="I113" s="560">
        <f t="shared" si="73"/>
        <v>2222.8804</v>
      </c>
      <c r="J113" s="560">
        <f t="shared" si="73"/>
        <v>0</v>
      </c>
      <c r="K113" s="560">
        <f t="shared" si="73"/>
        <v>0</v>
      </c>
      <c r="L113" s="560">
        <f t="shared" si="73"/>
        <v>2222.8804</v>
      </c>
      <c r="M113" s="560">
        <f>SUM(M114:M119)</f>
        <v>2222.8804</v>
      </c>
      <c r="N113" s="560">
        <f t="shared" si="73"/>
        <v>0</v>
      </c>
      <c r="O113" s="560">
        <f t="shared" si="73"/>
        <v>0</v>
      </c>
      <c r="P113" s="560">
        <f t="shared" si="73"/>
        <v>0</v>
      </c>
      <c r="Q113" s="560">
        <f t="shared" si="73"/>
        <v>0</v>
      </c>
      <c r="R113" s="560">
        <f t="shared" si="73"/>
        <v>0</v>
      </c>
      <c r="S113" s="584">
        <f t="shared" si="58"/>
        <v>1.2938768335273574</v>
      </c>
      <c r="T113" s="584" t="e">
        <f t="shared" si="59"/>
        <v>#DIV/0!</v>
      </c>
      <c r="U113" s="584">
        <f t="shared" si="60"/>
        <v>1.2938768335273574</v>
      </c>
      <c r="V113" s="560"/>
      <c r="W113" s="596"/>
    </row>
    <row r="114" spans="1:23" s="238" customFormat="1" ht="31.5" customHeight="1">
      <c r="A114" s="570"/>
      <c r="B114" s="562" t="s">
        <v>554</v>
      </c>
      <c r="C114" s="560">
        <f t="shared" si="48"/>
        <v>142</v>
      </c>
      <c r="D114" s="560"/>
      <c r="E114" s="560">
        <v>142</v>
      </c>
      <c r="F114" s="560">
        <f t="shared" si="49"/>
        <v>191.5</v>
      </c>
      <c r="G114" s="560">
        <f t="shared" si="50"/>
        <v>0</v>
      </c>
      <c r="H114" s="560">
        <f t="shared" si="51"/>
        <v>191.5</v>
      </c>
      <c r="I114" s="560">
        <f t="shared" si="52"/>
        <v>191.5</v>
      </c>
      <c r="J114" s="560">
        <f t="shared" si="53"/>
        <v>0</v>
      </c>
      <c r="K114" s="560"/>
      <c r="L114" s="560">
        <f t="shared" si="54"/>
        <v>191.5</v>
      </c>
      <c r="M114" s="560">
        <v>191.5</v>
      </c>
      <c r="N114" s="560">
        <f t="shared" si="55"/>
        <v>0</v>
      </c>
      <c r="O114" s="560">
        <f t="shared" si="56"/>
        <v>0</v>
      </c>
      <c r="P114" s="560"/>
      <c r="Q114" s="560">
        <f t="shared" si="57"/>
        <v>0</v>
      </c>
      <c r="R114" s="560"/>
      <c r="S114" s="584">
        <f t="shared" si="58"/>
        <v>1.3485915492957747</v>
      </c>
      <c r="T114" s="584" t="e">
        <f t="shared" si="59"/>
        <v>#DIV/0!</v>
      </c>
      <c r="U114" s="584">
        <f t="shared" si="60"/>
        <v>1.3485915492957747</v>
      </c>
      <c r="V114" s="560"/>
      <c r="W114" s="596"/>
    </row>
    <row r="115" spans="1:23" s="238" customFormat="1" ht="31.5" customHeight="1">
      <c r="A115" s="570"/>
      <c r="B115" s="562" t="s">
        <v>559</v>
      </c>
      <c r="C115" s="560">
        <f t="shared" si="48"/>
        <v>230</v>
      </c>
      <c r="D115" s="560"/>
      <c r="E115" s="560">
        <v>230</v>
      </c>
      <c r="F115" s="560">
        <f t="shared" si="49"/>
        <v>225.525</v>
      </c>
      <c r="G115" s="560">
        <f t="shared" si="50"/>
        <v>0</v>
      </c>
      <c r="H115" s="560">
        <f t="shared" si="51"/>
        <v>225.525</v>
      </c>
      <c r="I115" s="560">
        <f t="shared" si="52"/>
        <v>225.525</v>
      </c>
      <c r="J115" s="560">
        <f t="shared" si="53"/>
        <v>0</v>
      </c>
      <c r="K115" s="560"/>
      <c r="L115" s="560">
        <f t="shared" si="54"/>
        <v>225.525</v>
      </c>
      <c r="M115" s="560">
        <v>225.525</v>
      </c>
      <c r="N115" s="560">
        <f t="shared" si="55"/>
        <v>0</v>
      </c>
      <c r="O115" s="560">
        <f t="shared" si="56"/>
        <v>0</v>
      </c>
      <c r="P115" s="560"/>
      <c r="Q115" s="560">
        <f t="shared" si="57"/>
        <v>0</v>
      </c>
      <c r="R115" s="560"/>
      <c r="S115" s="584">
        <f t="shared" si="58"/>
        <v>0.9805434782608696</v>
      </c>
      <c r="T115" s="584" t="e">
        <f t="shared" si="59"/>
        <v>#DIV/0!</v>
      </c>
      <c r="U115" s="584">
        <f t="shared" si="60"/>
        <v>0.9805434782608696</v>
      </c>
      <c r="V115" s="560"/>
      <c r="W115" s="596"/>
    </row>
    <row r="116" spans="1:23" s="238" customFormat="1" ht="31.5" customHeight="1">
      <c r="A116" s="570"/>
      <c r="B116" s="562" t="s">
        <v>555</v>
      </c>
      <c r="C116" s="560">
        <f t="shared" si="48"/>
        <v>280</v>
      </c>
      <c r="D116" s="560"/>
      <c r="E116" s="560">
        <v>280</v>
      </c>
      <c r="F116" s="560">
        <f t="shared" si="49"/>
        <v>362.5</v>
      </c>
      <c r="G116" s="560">
        <f t="shared" si="50"/>
        <v>0</v>
      </c>
      <c r="H116" s="560">
        <f t="shared" si="51"/>
        <v>362.5</v>
      </c>
      <c r="I116" s="560">
        <f t="shared" si="52"/>
        <v>362.5</v>
      </c>
      <c r="J116" s="560">
        <f t="shared" si="53"/>
        <v>0</v>
      </c>
      <c r="K116" s="560"/>
      <c r="L116" s="560">
        <f t="shared" si="54"/>
        <v>362.5</v>
      </c>
      <c r="M116" s="560">
        <v>362.5</v>
      </c>
      <c r="N116" s="560">
        <f t="shared" si="55"/>
        <v>0</v>
      </c>
      <c r="O116" s="560">
        <f t="shared" si="56"/>
        <v>0</v>
      </c>
      <c r="P116" s="560"/>
      <c r="Q116" s="560">
        <f t="shared" si="57"/>
        <v>0</v>
      </c>
      <c r="R116" s="560"/>
      <c r="S116" s="584">
        <f t="shared" si="58"/>
        <v>1.2946428571428572</v>
      </c>
      <c r="T116" s="584" t="e">
        <f t="shared" si="59"/>
        <v>#DIV/0!</v>
      </c>
      <c r="U116" s="584">
        <f t="shared" si="60"/>
        <v>1.2946428571428572</v>
      </c>
      <c r="V116" s="560"/>
      <c r="W116" s="596"/>
    </row>
    <row r="117" spans="1:23" s="238" customFormat="1" ht="31.5" customHeight="1">
      <c r="A117" s="570"/>
      <c r="B117" s="562" t="s">
        <v>557</v>
      </c>
      <c r="C117" s="560">
        <f t="shared" si="48"/>
        <v>442</v>
      </c>
      <c r="D117" s="560"/>
      <c r="E117" s="560">
        <v>442</v>
      </c>
      <c r="F117" s="560">
        <f t="shared" si="49"/>
        <v>637.447</v>
      </c>
      <c r="G117" s="560">
        <f t="shared" si="50"/>
        <v>0</v>
      </c>
      <c r="H117" s="560">
        <f t="shared" si="51"/>
        <v>637.447</v>
      </c>
      <c r="I117" s="560">
        <f t="shared" si="52"/>
        <v>637.447</v>
      </c>
      <c r="J117" s="560">
        <f t="shared" si="53"/>
        <v>0</v>
      </c>
      <c r="K117" s="560"/>
      <c r="L117" s="560">
        <f t="shared" si="54"/>
        <v>637.447</v>
      </c>
      <c r="M117" s="560">
        <v>637.447</v>
      </c>
      <c r="N117" s="560">
        <f t="shared" si="55"/>
        <v>0</v>
      </c>
      <c r="O117" s="560">
        <f t="shared" si="56"/>
        <v>0</v>
      </c>
      <c r="P117" s="560"/>
      <c r="Q117" s="560">
        <f t="shared" si="57"/>
        <v>0</v>
      </c>
      <c r="R117" s="560"/>
      <c r="S117" s="584">
        <f t="shared" si="58"/>
        <v>1.44218778280543</v>
      </c>
      <c r="T117" s="584" t="e">
        <f t="shared" si="59"/>
        <v>#DIV/0!</v>
      </c>
      <c r="U117" s="584">
        <f t="shared" si="60"/>
        <v>1.44218778280543</v>
      </c>
      <c r="V117" s="560"/>
      <c r="W117" s="596"/>
    </row>
    <row r="118" spans="1:23" s="238" customFormat="1" ht="31.5" customHeight="1">
      <c r="A118" s="570"/>
      <c r="B118" s="562" t="s">
        <v>556</v>
      </c>
      <c r="C118" s="560">
        <f t="shared" si="48"/>
        <v>232</v>
      </c>
      <c r="D118" s="560"/>
      <c r="E118" s="560">
        <v>232</v>
      </c>
      <c r="F118" s="560">
        <f t="shared" si="49"/>
        <v>351.37</v>
      </c>
      <c r="G118" s="560">
        <f t="shared" si="50"/>
        <v>0</v>
      </c>
      <c r="H118" s="560">
        <f t="shared" si="51"/>
        <v>351.37</v>
      </c>
      <c r="I118" s="560">
        <f t="shared" si="52"/>
        <v>351.37</v>
      </c>
      <c r="J118" s="560">
        <f t="shared" si="53"/>
        <v>0</v>
      </c>
      <c r="K118" s="560"/>
      <c r="L118" s="560">
        <f t="shared" si="54"/>
        <v>351.37</v>
      </c>
      <c r="M118" s="560">
        <f>120+231.37</f>
        <v>351.37</v>
      </c>
      <c r="N118" s="560">
        <f t="shared" si="55"/>
        <v>0</v>
      </c>
      <c r="O118" s="560">
        <f t="shared" si="56"/>
        <v>0</v>
      </c>
      <c r="P118" s="560"/>
      <c r="Q118" s="560">
        <f t="shared" si="57"/>
        <v>0</v>
      </c>
      <c r="R118" s="560"/>
      <c r="S118" s="584">
        <f t="shared" si="58"/>
        <v>1.5145258620689654</v>
      </c>
      <c r="T118" s="584" t="e">
        <f t="shared" si="59"/>
        <v>#DIV/0!</v>
      </c>
      <c r="U118" s="584">
        <f t="shared" si="60"/>
        <v>1.5145258620689654</v>
      </c>
      <c r="V118" s="560"/>
      <c r="W118" s="596"/>
    </row>
    <row r="119" spans="1:23" s="236" customFormat="1" ht="32.25" customHeight="1">
      <c r="A119" s="570"/>
      <c r="B119" s="562" t="s">
        <v>558</v>
      </c>
      <c r="C119" s="560">
        <f t="shared" si="48"/>
        <v>392</v>
      </c>
      <c r="D119" s="560"/>
      <c r="E119" s="560">
        <v>392</v>
      </c>
      <c r="F119" s="560">
        <f t="shared" si="49"/>
        <v>454.5384</v>
      </c>
      <c r="G119" s="560">
        <f t="shared" si="50"/>
        <v>0</v>
      </c>
      <c r="H119" s="560">
        <f t="shared" si="51"/>
        <v>454.5384</v>
      </c>
      <c r="I119" s="560">
        <f t="shared" si="52"/>
        <v>454.5384</v>
      </c>
      <c r="J119" s="560">
        <f t="shared" si="53"/>
        <v>0</v>
      </c>
      <c r="K119" s="560"/>
      <c r="L119" s="560">
        <f t="shared" si="54"/>
        <v>454.5384</v>
      </c>
      <c r="M119" s="560">
        <v>454.5384</v>
      </c>
      <c r="N119" s="560">
        <f t="shared" si="55"/>
        <v>0</v>
      </c>
      <c r="O119" s="560">
        <f t="shared" si="56"/>
        <v>0</v>
      </c>
      <c r="P119" s="560"/>
      <c r="Q119" s="560">
        <f t="shared" si="57"/>
        <v>0</v>
      </c>
      <c r="R119" s="560"/>
      <c r="S119" s="584">
        <f t="shared" si="58"/>
        <v>1.1595367346938776</v>
      </c>
      <c r="T119" s="584" t="e">
        <f t="shared" si="59"/>
        <v>#DIV/0!</v>
      </c>
      <c r="U119" s="584">
        <f t="shared" si="60"/>
        <v>1.1595367346938776</v>
      </c>
      <c r="V119" s="560"/>
      <c r="W119" s="597"/>
    </row>
    <row r="120" spans="1:23" s="236" customFormat="1" ht="52.5">
      <c r="A120" s="554" t="s">
        <v>40</v>
      </c>
      <c r="B120" s="573" t="s">
        <v>537</v>
      </c>
      <c r="C120" s="553">
        <f aca="true" t="shared" si="74" ref="C120:R120">C121+C134+C142+C149+C152</f>
        <v>1600</v>
      </c>
      <c r="D120" s="553">
        <f t="shared" si="74"/>
        <v>0</v>
      </c>
      <c r="E120" s="553">
        <f t="shared" si="74"/>
        <v>1600</v>
      </c>
      <c r="F120" s="553">
        <f t="shared" si="74"/>
        <v>4744.166722999999</v>
      </c>
      <c r="G120" s="553">
        <f t="shared" si="74"/>
        <v>0</v>
      </c>
      <c r="H120" s="553">
        <f t="shared" si="74"/>
        <v>4744.166722999999</v>
      </c>
      <c r="I120" s="553">
        <f t="shared" si="74"/>
        <v>4744.166722999999</v>
      </c>
      <c r="J120" s="553">
        <f t="shared" si="74"/>
        <v>0</v>
      </c>
      <c r="K120" s="553">
        <f t="shared" si="74"/>
        <v>0</v>
      </c>
      <c r="L120" s="553">
        <f t="shared" si="74"/>
        <v>4744.166722999999</v>
      </c>
      <c r="M120" s="553">
        <f t="shared" si="74"/>
        <v>4744.166722999999</v>
      </c>
      <c r="N120" s="553">
        <f t="shared" si="74"/>
        <v>0</v>
      </c>
      <c r="O120" s="553">
        <f t="shared" si="74"/>
        <v>0</v>
      </c>
      <c r="P120" s="553">
        <f t="shared" si="74"/>
        <v>0</v>
      </c>
      <c r="Q120" s="553">
        <f t="shared" si="74"/>
        <v>0</v>
      </c>
      <c r="R120" s="553">
        <f t="shared" si="74"/>
        <v>0</v>
      </c>
      <c r="S120" s="584">
        <f t="shared" si="58"/>
        <v>2.9651042018749996</v>
      </c>
      <c r="T120" s="584" t="e">
        <f t="shared" si="59"/>
        <v>#DIV/0!</v>
      </c>
      <c r="U120" s="584">
        <f t="shared" si="60"/>
        <v>2.9651042018749996</v>
      </c>
      <c r="V120" s="560"/>
      <c r="W120" s="597"/>
    </row>
    <row r="121" spans="1:23" s="238" customFormat="1" ht="105">
      <c r="A121" s="556">
        <v>1</v>
      </c>
      <c r="B121" s="557" t="s">
        <v>546</v>
      </c>
      <c r="C121" s="553">
        <f aca="true" t="shared" si="75" ref="C121:R121">C122+C131</f>
        <v>1600</v>
      </c>
      <c r="D121" s="553">
        <f t="shared" si="75"/>
        <v>0</v>
      </c>
      <c r="E121" s="553">
        <f t="shared" si="75"/>
        <v>1600</v>
      </c>
      <c r="F121" s="553">
        <f t="shared" si="75"/>
        <v>502.26944</v>
      </c>
      <c r="G121" s="553">
        <f t="shared" si="75"/>
        <v>0</v>
      </c>
      <c r="H121" s="553">
        <f t="shared" si="75"/>
        <v>502.26944</v>
      </c>
      <c r="I121" s="553">
        <f t="shared" si="75"/>
        <v>502.26944</v>
      </c>
      <c r="J121" s="553">
        <f t="shared" si="75"/>
        <v>0</v>
      </c>
      <c r="K121" s="553">
        <f t="shared" si="75"/>
        <v>0</v>
      </c>
      <c r="L121" s="553">
        <f t="shared" si="75"/>
        <v>502.26944</v>
      </c>
      <c r="M121" s="553">
        <f t="shared" si="75"/>
        <v>502.26944</v>
      </c>
      <c r="N121" s="553">
        <f t="shared" si="75"/>
        <v>0</v>
      </c>
      <c r="O121" s="553">
        <f t="shared" si="75"/>
        <v>0</v>
      </c>
      <c r="P121" s="553">
        <f t="shared" si="75"/>
        <v>0</v>
      </c>
      <c r="Q121" s="553">
        <f t="shared" si="75"/>
        <v>0</v>
      </c>
      <c r="R121" s="553">
        <f t="shared" si="75"/>
        <v>0</v>
      </c>
      <c r="S121" s="584">
        <f t="shared" si="58"/>
        <v>0.3139184</v>
      </c>
      <c r="T121" s="584" t="e">
        <f t="shared" si="59"/>
        <v>#DIV/0!</v>
      </c>
      <c r="U121" s="584">
        <f t="shared" si="60"/>
        <v>0.3139184</v>
      </c>
      <c r="V121" s="553"/>
      <c r="W121" s="597"/>
    </row>
    <row r="122" spans="1:23" s="238" customFormat="1" ht="18">
      <c r="A122" s="563" t="s">
        <v>250</v>
      </c>
      <c r="B122" s="562" t="s">
        <v>783</v>
      </c>
      <c r="C122" s="560">
        <f aca="true" t="shared" si="76" ref="C122:R122">SUM(C123:C130)</f>
        <v>600</v>
      </c>
      <c r="D122" s="560">
        <f t="shared" si="76"/>
        <v>0</v>
      </c>
      <c r="E122" s="560">
        <f t="shared" si="76"/>
        <v>600</v>
      </c>
      <c r="F122" s="560">
        <f t="shared" si="76"/>
        <v>502.26944</v>
      </c>
      <c r="G122" s="560">
        <f t="shared" si="76"/>
        <v>0</v>
      </c>
      <c r="H122" s="560">
        <f t="shared" si="76"/>
        <v>502.26944</v>
      </c>
      <c r="I122" s="560">
        <f t="shared" si="76"/>
        <v>502.26944</v>
      </c>
      <c r="J122" s="560">
        <f t="shared" si="76"/>
        <v>0</v>
      </c>
      <c r="K122" s="560">
        <f t="shared" si="76"/>
        <v>0</v>
      </c>
      <c r="L122" s="560">
        <f t="shared" si="76"/>
        <v>502.26944</v>
      </c>
      <c r="M122" s="560">
        <f t="shared" si="76"/>
        <v>502.26944</v>
      </c>
      <c r="N122" s="560">
        <f t="shared" si="76"/>
        <v>0</v>
      </c>
      <c r="O122" s="560">
        <f t="shared" si="76"/>
        <v>0</v>
      </c>
      <c r="P122" s="560">
        <f t="shared" si="76"/>
        <v>0</v>
      </c>
      <c r="Q122" s="560">
        <f t="shared" si="76"/>
        <v>0</v>
      </c>
      <c r="R122" s="560">
        <f t="shared" si="76"/>
        <v>0</v>
      </c>
      <c r="S122" s="584">
        <f t="shared" si="58"/>
        <v>0.8371157333333333</v>
      </c>
      <c r="T122" s="584" t="e">
        <f t="shared" si="59"/>
        <v>#DIV/0!</v>
      </c>
      <c r="U122" s="584">
        <f t="shared" si="60"/>
        <v>0.8371157333333333</v>
      </c>
      <c r="V122" s="560"/>
      <c r="W122" s="597"/>
    </row>
    <row r="123" spans="1:23" s="238" customFormat="1" ht="18">
      <c r="A123" s="563" t="s">
        <v>412</v>
      </c>
      <c r="B123" s="562" t="s">
        <v>550</v>
      </c>
      <c r="C123" s="560">
        <f t="shared" si="48"/>
        <v>100</v>
      </c>
      <c r="D123" s="560"/>
      <c r="E123" s="560">
        <v>100</v>
      </c>
      <c r="F123" s="560">
        <f t="shared" si="49"/>
        <v>474.979</v>
      </c>
      <c r="G123" s="560">
        <f t="shared" si="50"/>
        <v>0</v>
      </c>
      <c r="H123" s="560">
        <f t="shared" si="51"/>
        <v>474.979</v>
      </c>
      <c r="I123" s="560">
        <f t="shared" si="52"/>
        <v>474.979</v>
      </c>
      <c r="J123" s="560">
        <f t="shared" si="53"/>
        <v>0</v>
      </c>
      <c r="K123" s="560"/>
      <c r="L123" s="560">
        <f t="shared" si="54"/>
        <v>474.979</v>
      </c>
      <c r="M123" s="560">
        <v>474.979</v>
      </c>
      <c r="N123" s="560">
        <f t="shared" si="55"/>
        <v>0</v>
      </c>
      <c r="O123" s="560">
        <f t="shared" si="56"/>
        <v>0</v>
      </c>
      <c r="P123" s="560"/>
      <c r="Q123" s="560">
        <f t="shared" si="57"/>
        <v>0</v>
      </c>
      <c r="R123" s="560"/>
      <c r="S123" s="584">
        <f t="shared" si="58"/>
        <v>4.74979</v>
      </c>
      <c r="T123" s="584" t="e">
        <f t="shared" si="59"/>
        <v>#DIV/0!</v>
      </c>
      <c r="U123" s="584">
        <f t="shared" si="60"/>
        <v>4.74979</v>
      </c>
      <c r="V123" s="560"/>
      <c r="W123" s="597"/>
    </row>
    <row r="124" spans="1:23" s="238" customFormat="1" ht="18">
      <c r="A124" s="563" t="s">
        <v>412</v>
      </c>
      <c r="B124" s="562" t="s">
        <v>580</v>
      </c>
      <c r="C124" s="560">
        <f t="shared" si="48"/>
        <v>100</v>
      </c>
      <c r="D124" s="560"/>
      <c r="E124" s="560">
        <v>100</v>
      </c>
      <c r="F124" s="560">
        <f t="shared" si="49"/>
        <v>0</v>
      </c>
      <c r="G124" s="560">
        <f t="shared" si="50"/>
        <v>0</v>
      </c>
      <c r="H124" s="560">
        <f t="shared" si="51"/>
        <v>0</v>
      </c>
      <c r="I124" s="560">
        <f t="shared" si="52"/>
        <v>0</v>
      </c>
      <c r="J124" s="560">
        <f t="shared" si="53"/>
        <v>0</v>
      </c>
      <c r="K124" s="560"/>
      <c r="L124" s="560">
        <f t="shared" si="54"/>
        <v>0</v>
      </c>
      <c r="M124" s="560"/>
      <c r="N124" s="560">
        <f t="shared" si="55"/>
        <v>0</v>
      </c>
      <c r="O124" s="560">
        <f t="shared" si="56"/>
        <v>0</v>
      </c>
      <c r="P124" s="560"/>
      <c r="Q124" s="560">
        <f t="shared" si="57"/>
        <v>0</v>
      </c>
      <c r="R124" s="560"/>
      <c r="S124" s="584">
        <f t="shared" si="58"/>
        <v>0</v>
      </c>
      <c r="T124" s="584" t="e">
        <f t="shared" si="59"/>
        <v>#DIV/0!</v>
      </c>
      <c r="U124" s="584">
        <f t="shared" si="60"/>
        <v>0</v>
      </c>
      <c r="V124" s="560"/>
      <c r="W124" s="597"/>
    </row>
    <row r="125" spans="1:23" s="238" customFormat="1" ht="18">
      <c r="A125" s="563" t="s">
        <v>412</v>
      </c>
      <c r="B125" s="562" t="s">
        <v>552</v>
      </c>
      <c r="C125" s="560">
        <f t="shared" si="48"/>
        <v>100</v>
      </c>
      <c r="D125" s="560"/>
      <c r="E125" s="560">
        <v>100</v>
      </c>
      <c r="F125" s="560">
        <f t="shared" si="49"/>
        <v>0</v>
      </c>
      <c r="G125" s="560">
        <f t="shared" si="50"/>
        <v>0</v>
      </c>
      <c r="H125" s="560">
        <f t="shared" si="51"/>
        <v>0</v>
      </c>
      <c r="I125" s="560">
        <f t="shared" si="52"/>
        <v>0</v>
      </c>
      <c r="J125" s="560">
        <f t="shared" si="53"/>
        <v>0</v>
      </c>
      <c r="K125" s="560"/>
      <c r="L125" s="560">
        <f t="shared" si="54"/>
        <v>0</v>
      </c>
      <c r="M125" s="560"/>
      <c r="N125" s="560">
        <f t="shared" si="55"/>
        <v>0</v>
      </c>
      <c r="O125" s="560">
        <f t="shared" si="56"/>
        <v>0</v>
      </c>
      <c r="P125" s="560"/>
      <c r="Q125" s="560">
        <f t="shared" si="57"/>
        <v>0</v>
      </c>
      <c r="R125" s="560"/>
      <c r="S125" s="584">
        <f t="shared" si="58"/>
        <v>0</v>
      </c>
      <c r="T125" s="584" t="e">
        <f t="shared" si="59"/>
        <v>#DIV/0!</v>
      </c>
      <c r="U125" s="584">
        <f t="shared" si="60"/>
        <v>0</v>
      </c>
      <c r="V125" s="560"/>
      <c r="W125" s="597"/>
    </row>
    <row r="126" spans="1:23" s="238" customFormat="1" ht="18">
      <c r="A126" s="563" t="s">
        <v>412</v>
      </c>
      <c r="B126" s="562" t="s">
        <v>549</v>
      </c>
      <c r="C126" s="560">
        <f t="shared" si="48"/>
        <v>100</v>
      </c>
      <c r="D126" s="560"/>
      <c r="E126" s="560">
        <v>100</v>
      </c>
      <c r="F126" s="560">
        <f t="shared" si="49"/>
        <v>7.329</v>
      </c>
      <c r="G126" s="560">
        <f t="shared" si="50"/>
        <v>0</v>
      </c>
      <c r="H126" s="560">
        <f t="shared" si="51"/>
        <v>7.329</v>
      </c>
      <c r="I126" s="560">
        <f t="shared" si="52"/>
        <v>7.329</v>
      </c>
      <c r="J126" s="560">
        <f t="shared" si="53"/>
        <v>0</v>
      </c>
      <c r="K126" s="560"/>
      <c r="L126" s="560">
        <f t="shared" si="54"/>
        <v>7.329</v>
      </c>
      <c r="M126" s="560">
        <v>7.329</v>
      </c>
      <c r="N126" s="560">
        <f t="shared" si="55"/>
        <v>0</v>
      </c>
      <c r="O126" s="560">
        <f t="shared" si="56"/>
        <v>0</v>
      </c>
      <c r="P126" s="560"/>
      <c r="Q126" s="560">
        <f t="shared" si="57"/>
        <v>0</v>
      </c>
      <c r="R126" s="560"/>
      <c r="S126" s="584">
        <f t="shared" si="58"/>
        <v>0.07329</v>
      </c>
      <c r="T126" s="584" t="e">
        <f t="shared" si="59"/>
        <v>#DIV/0!</v>
      </c>
      <c r="U126" s="584">
        <f t="shared" si="60"/>
        <v>0.07329</v>
      </c>
      <c r="V126" s="560"/>
      <c r="W126" s="597"/>
    </row>
    <row r="127" spans="1:23" s="238" customFormat="1" ht="18">
      <c r="A127" s="563" t="s">
        <v>412</v>
      </c>
      <c r="B127" s="562" t="s">
        <v>581</v>
      </c>
      <c r="C127" s="560">
        <f t="shared" si="48"/>
        <v>100</v>
      </c>
      <c r="D127" s="560"/>
      <c r="E127" s="560">
        <v>100</v>
      </c>
      <c r="F127" s="560">
        <f t="shared" si="49"/>
        <v>0</v>
      </c>
      <c r="G127" s="560">
        <f t="shared" si="50"/>
        <v>0</v>
      </c>
      <c r="H127" s="560">
        <f t="shared" si="51"/>
        <v>0</v>
      </c>
      <c r="I127" s="560">
        <f t="shared" si="52"/>
        <v>0</v>
      </c>
      <c r="J127" s="560">
        <f t="shared" si="53"/>
        <v>0</v>
      </c>
      <c r="K127" s="560"/>
      <c r="L127" s="560">
        <f t="shared" si="54"/>
        <v>0</v>
      </c>
      <c r="M127" s="560"/>
      <c r="N127" s="560">
        <f t="shared" si="55"/>
        <v>0</v>
      </c>
      <c r="O127" s="560">
        <f t="shared" si="56"/>
        <v>0</v>
      </c>
      <c r="P127" s="560"/>
      <c r="Q127" s="560">
        <f t="shared" si="57"/>
        <v>0</v>
      </c>
      <c r="R127" s="560"/>
      <c r="S127" s="584">
        <f t="shared" si="58"/>
        <v>0</v>
      </c>
      <c r="T127" s="584" t="e">
        <f t="shared" si="59"/>
        <v>#DIV/0!</v>
      </c>
      <c r="U127" s="584">
        <f t="shared" si="60"/>
        <v>0</v>
      </c>
      <c r="V127" s="560"/>
      <c r="W127" s="597"/>
    </row>
    <row r="128" spans="1:23" s="238" customFormat="1" ht="18">
      <c r="A128" s="563" t="s">
        <v>412</v>
      </c>
      <c r="B128" s="562" t="s">
        <v>582</v>
      </c>
      <c r="C128" s="560">
        <f t="shared" si="48"/>
        <v>100</v>
      </c>
      <c r="D128" s="560"/>
      <c r="E128" s="560">
        <v>100</v>
      </c>
      <c r="F128" s="560">
        <f t="shared" si="49"/>
        <v>0</v>
      </c>
      <c r="G128" s="560">
        <f t="shared" si="50"/>
        <v>0</v>
      </c>
      <c r="H128" s="560">
        <f t="shared" si="51"/>
        <v>0</v>
      </c>
      <c r="I128" s="560">
        <f t="shared" si="52"/>
        <v>0</v>
      </c>
      <c r="J128" s="560">
        <f t="shared" si="53"/>
        <v>0</v>
      </c>
      <c r="K128" s="560"/>
      <c r="L128" s="560">
        <f t="shared" si="54"/>
        <v>0</v>
      </c>
      <c r="M128" s="560"/>
      <c r="N128" s="560">
        <f t="shared" si="55"/>
        <v>0</v>
      </c>
      <c r="O128" s="560">
        <f t="shared" si="56"/>
        <v>0</v>
      </c>
      <c r="P128" s="560"/>
      <c r="Q128" s="560">
        <f t="shared" si="57"/>
        <v>0</v>
      </c>
      <c r="R128" s="560"/>
      <c r="S128" s="584">
        <f t="shared" si="58"/>
        <v>0</v>
      </c>
      <c r="T128" s="584" t="e">
        <f t="shared" si="59"/>
        <v>#DIV/0!</v>
      </c>
      <c r="U128" s="584">
        <f t="shared" si="60"/>
        <v>0</v>
      </c>
      <c r="V128" s="560"/>
      <c r="W128" s="597"/>
    </row>
    <row r="129" spans="1:23" s="238" customFormat="1" ht="18">
      <c r="A129" s="563" t="s">
        <v>412</v>
      </c>
      <c r="B129" s="562" t="s">
        <v>548</v>
      </c>
      <c r="C129" s="560">
        <f>D129+E129</f>
        <v>0</v>
      </c>
      <c r="D129" s="560"/>
      <c r="E129" s="560"/>
      <c r="F129" s="560">
        <f>G129+H129</f>
        <v>10</v>
      </c>
      <c r="G129" s="560">
        <f>J129+O129</f>
        <v>0</v>
      </c>
      <c r="H129" s="560">
        <f>L129+Q129</f>
        <v>10</v>
      </c>
      <c r="I129" s="560">
        <f>J129+L129</f>
        <v>10</v>
      </c>
      <c r="J129" s="560">
        <f>K129</f>
        <v>0</v>
      </c>
      <c r="K129" s="560"/>
      <c r="L129" s="560">
        <f>M129</f>
        <v>10</v>
      </c>
      <c r="M129" s="560">
        <v>10</v>
      </c>
      <c r="N129" s="560">
        <f>O129+Q129</f>
        <v>0</v>
      </c>
      <c r="O129" s="560">
        <f>P129</f>
        <v>0</v>
      </c>
      <c r="P129" s="560"/>
      <c r="Q129" s="560">
        <f>R129</f>
        <v>0</v>
      </c>
      <c r="R129" s="560"/>
      <c r="S129" s="584" t="e">
        <f aca="true" t="shared" si="77" ref="S129:U130">F129/C129</f>
        <v>#DIV/0!</v>
      </c>
      <c r="T129" s="584" t="e">
        <f t="shared" si="77"/>
        <v>#DIV/0!</v>
      </c>
      <c r="U129" s="584" t="e">
        <f t="shared" si="77"/>
        <v>#DIV/0!</v>
      </c>
      <c r="V129" s="560"/>
      <c r="W129" s="597"/>
    </row>
    <row r="130" spans="1:23" s="238" customFormat="1" ht="28.5" customHeight="1">
      <c r="A130" s="563" t="s">
        <v>412</v>
      </c>
      <c r="B130" s="562" t="s">
        <v>547</v>
      </c>
      <c r="C130" s="560">
        <f>D130+E130</f>
        <v>0</v>
      </c>
      <c r="D130" s="560"/>
      <c r="E130" s="560"/>
      <c r="F130" s="560">
        <f>G130+H130</f>
        <v>9.96144</v>
      </c>
      <c r="G130" s="560">
        <f>J130+O130</f>
        <v>0</v>
      </c>
      <c r="H130" s="560">
        <f>L130+Q130</f>
        <v>9.96144</v>
      </c>
      <c r="I130" s="560">
        <f>J130+L130</f>
        <v>9.96144</v>
      </c>
      <c r="J130" s="560">
        <f>K130</f>
        <v>0</v>
      </c>
      <c r="K130" s="560"/>
      <c r="L130" s="560">
        <f>M130</f>
        <v>9.96144</v>
      </c>
      <c r="M130" s="560">
        <v>9.96144</v>
      </c>
      <c r="N130" s="560">
        <f>O130+Q130</f>
        <v>0</v>
      </c>
      <c r="O130" s="560">
        <f>P130</f>
        <v>0</v>
      </c>
      <c r="P130" s="560"/>
      <c r="Q130" s="560">
        <f>R130</f>
        <v>0</v>
      </c>
      <c r="R130" s="560"/>
      <c r="S130" s="584" t="e">
        <f t="shared" si="77"/>
        <v>#DIV/0!</v>
      </c>
      <c r="T130" s="584" t="e">
        <f t="shared" si="77"/>
        <v>#DIV/0!</v>
      </c>
      <c r="U130" s="584" t="e">
        <f t="shared" si="77"/>
        <v>#DIV/0!</v>
      </c>
      <c r="V130" s="560"/>
      <c r="W130" s="597"/>
    </row>
    <row r="131" spans="1:23" s="238" customFormat="1" ht="18">
      <c r="A131" s="563" t="s">
        <v>251</v>
      </c>
      <c r="B131" s="558" t="s">
        <v>784</v>
      </c>
      <c r="C131" s="560">
        <f>SUM(C132:C133)</f>
        <v>1000</v>
      </c>
      <c r="D131" s="560">
        <f aca="true" t="shared" si="78" ref="D131:R131">SUM(D132:D133)</f>
        <v>0</v>
      </c>
      <c r="E131" s="560">
        <f t="shared" si="78"/>
        <v>1000</v>
      </c>
      <c r="F131" s="560">
        <f t="shared" si="78"/>
        <v>0</v>
      </c>
      <c r="G131" s="560">
        <f t="shared" si="78"/>
        <v>0</v>
      </c>
      <c r="H131" s="560">
        <f t="shared" si="78"/>
        <v>0</v>
      </c>
      <c r="I131" s="560">
        <f t="shared" si="78"/>
        <v>0</v>
      </c>
      <c r="J131" s="560">
        <f t="shared" si="78"/>
        <v>0</v>
      </c>
      <c r="K131" s="560">
        <f t="shared" si="78"/>
        <v>0</v>
      </c>
      <c r="L131" s="560">
        <f t="shared" si="78"/>
        <v>0</v>
      </c>
      <c r="M131" s="560">
        <f t="shared" si="78"/>
        <v>0</v>
      </c>
      <c r="N131" s="560">
        <f t="shared" si="78"/>
        <v>0</v>
      </c>
      <c r="O131" s="560">
        <f t="shared" si="78"/>
        <v>0</v>
      </c>
      <c r="P131" s="560">
        <f t="shared" si="78"/>
        <v>0</v>
      </c>
      <c r="Q131" s="560">
        <f t="shared" si="78"/>
        <v>0</v>
      </c>
      <c r="R131" s="560">
        <f t="shared" si="78"/>
        <v>0</v>
      </c>
      <c r="S131" s="584">
        <f t="shared" si="58"/>
        <v>0</v>
      </c>
      <c r="T131" s="584" t="e">
        <f t="shared" si="59"/>
        <v>#DIV/0!</v>
      </c>
      <c r="U131" s="584">
        <f t="shared" si="60"/>
        <v>0</v>
      </c>
      <c r="V131" s="560"/>
      <c r="W131" s="597"/>
    </row>
    <row r="132" spans="1:23" s="238" customFormat="1" ht="28.5" customHeight="1">
      <c r="A132" s="563" t="s">
        <v>412</v>
      </c>
      <c r="B132" s="562" t="s">
        <v>580</v>
      </c>
      <c r="C132" s="560">
        <f t="shared" si="48"/>
        <v>750</v>
      </c>
      <c r="D132" s="560"/>
      <c r="E132" s="560">
        <v>750</v>
      </c>
      <c r="F132" s="560">
        <f t="shared" si="49"/>
        <v>0</v>
      </c>
      <c r="G132" s="560">
        <f t="shared" si="50"/>
        <v>0</v>
      </c>
      <c r="H132" s="560">
        <f t="shared" si="51"/>
        <v>0</v>
      </c>
      <c r="I132" s="560">
        <f t="shared" si="52"/>
        <v>0</v>
      </c>
      <c r="J132" s="560">
        <f t="shared" si="53"/>
        <v>0</v>
      </c>
      <c r="K132" s="560"/>
      <c r="L132" s="560">
        <f t="shared" si="54"/>
        <v>0</v>
      </c>
      <c r="M132" s="560"/>
      <c r="N132" s="560">
        <f t="shared" si="55"/>
        <v>0</v>
      </c>
      <c r="O132" s="560">
        <f t="shared" si="56"/>
        <v>0</v>
      </c>
      <c r="P132" s="560"/>
      <c r="Q132" s="560">
        <f t="shared" si="57"/>
        <v>0</v>
      </c>
      <c r="R132" s="560"/>
      <c r="S132" s="584">
        <f t="shared" si="58"/>
        <v>0</v>
      </c>
      <c r="T132" s="584" t="e">
        <f t="shared" si="59"/>
        <v>#DIV/0!</v>
      </c>
      <c r="U132" s="584">
        <f t="shared" si="60"/>
        <v>0</v>
      </c>
      <c r="V132" s="560"/>
      <c r="W132" s="597"/>
    </row>
    <row r="133" spans="1:23" s="238" customFormat="1" ht="28.5" customHeight="1">
      <c r="A133" s="563" t="s">
        <v>412</v>
      </c>
      <c r="B133" s="562" t="s">
        <v>552</v>
      </c>
      <c r="C133" s="560">
        <f t="shared" si="48"/>
        <v>250</v>
      </c>
      <c r="D133" s="560"/>
      <c r="E133" s="560">
        <v>250</v>
      </c>
      <c r="F133" s="560">
        <f t="shared" si="49"/>
        <v>0</v>
      </c>
      <c r="G133" s="560">
        <f t="shared" si="50"/>
        <v>0</v>
      </c>
      <c r="H133" s="560">
        <f t="shared" si="51"/>
        <v>0</v>
      </c>
      <c r="I133" s="560">
        <f t="shared" si="52"/>
        <v>0</v>
      </c>
      <c r="J133" s="560">
        <f t="shared" si="53"/>
        <v>0</v>
      </c>
      <c r="K133" s="560"/>
      <c r="L133" s="560">
        <f t="shared" si="54"/>
        <v>0</v>
      </c>
      <c r="M133" s="560"/>
      <c r="N133" s="560">
        <f t="shared" si="55"/>
        <v>0</v>
      </c>
      <c r="O133" s="560">
        <f t="shared" si="56"/>
        <v>0</v>
      </c>
      <c r="P133" s="560"/>
      <c r="Q133" s="560">
        <f t="shared" si="57"/>
        <v>0</v>
      </c>
      <c r="R133" s="560"/>
      <c r="S133" s="584">
        <f t="shared" si="58"/>
        <v>0</v>
      </c>
      <c r="T133" s="584" t="e">
        <f t="shared" si="59"/>
        <v>#DIV/0!</v>
      </c>
      <c r="U133" s="584">
        <f t="shared" si="60"/>
        <v>0</v>
      </c>
      <c r="V133" s="560"/>
      <c r="W133" s="597"/>
    </row>
    <row r="134" spans="1:23" s="236" customFormat="1" ht="69.75">
      <c r="A134" s="556">
        <v>2</v>
      </c>
      <c r="B134" s="557" t="s">
        <v>539</v>
      </c>
      <c r="C134" s="553">
        <f aca="true" t="shared" si="79" ref="C134:R134">SUM(C135:C141)</f>
        <v>0</v>
      </c>
      <c r="D134" s="553">
        <f t="shared" si="79"/>
        <v>0</v>
      </c>
      <c r="E134" s="553">
        <f t="shared" si="79"/>
        <v>0</v>
      </c>
      <c r="F134" s="553">
        <f t="shared" si="79"/>
        <v>3253.773733</v>
      </c>
      <c r="G134" s="553">
        <f t="shared" si="79"/>
        <v>0</v>
      </c>
      <c r="H134" s="553">
        <f t="shared" si="79"/>
        <v>3253.773733</v>
      </c>
      <c r="I134" s="553">
        <f t="shared" si="79"/>
        <v>3253.773733</v>
      </c>
      <c r="J134" s="553">
        <f t="shared" si="79"/>
        <v>0</v>
      </c>
      <c r="K134" s="553">
        <f t="shared" si="79"/>
        <v>0</v>
      </c>
      <c r="L134" s="553">
        <f t="shared" si="79"/>
        <v>3253.773733</v>
      </c>
      <c r="M134" s="553">
        <f t="shared" si="79"/>
        <v>3253.773733</v>
      </c>
      <c r="N134" s="553">
        <f t="shared" si="79"/>
        <v>0</v>
      </c>
      <c r="O134" s="553">
        <f t="shared" si="79"/>
        <v>0</v>
      </c>
      <c r="P134" s="553">
        <f t="shared" si="79"/>
        <v>0</v>
      </c>
      <c r="Q134" s="553">
        <f t="shared" si="79"/>
        <v>0</v>
      </c>
      <c r="R134" s="553">
        <f t="shared" si="79"/>
        <v>0</v>
      </c>
      <c r="S134" s="584" t="e">
        <f aca="true" t="shared" si="80" ref="S134:S195">F134/C134</f>
        <v>#DIV/0!</v>
      </c>
      <c r="T134" s="584" t="e">
        <f aca="true" t="shared" si="81" ref="T134:T195">G134/D134</f>
        <v>#DIV/0!</v>
      </c>
      <c r="U134" s="584" t="e">
        <f aca="true" t="shared" si="82" ref="U134:U195">H134/E134</f>
        <v>#DIV/0!</v>
      </c>
      <c r="V134" s="553"/>
      <c r="W134" s="597"/>
    </row>
    <row r="135" spans="1:23" s="236" customFormat="1" ht="18">
      <c r="A135" s="556" t="s">
        <v>37</v>
      </c>
      <c r="B135" s="562" t="s">
        <v>549</v>
      </c>
      <c r="C135" s="560">
        <f aca="true" t="shared" si="83" ref="C135:C196">D135+E135</f>
        <v>0</v>
      </c>
      <c r="D135" s="560"/>
      <c r="E135" s="560"/>
      <c r="F135" s="560">
        <f>G135+H135</f>
        <v>99.999333</v>
      </c>
      <c r="G135" s="560">
        <f>J135+O135</f>
        <v>0</v>
      </c>
      <c r="H135" s="560">
        <f>L135+Q135</f>
        <v>99.999333</v>
      </c>
      <c r="I135" s="560">
        <f>J135+L135</f>
        <v>99.999333</v>
      </c>
      <c r="J135" s="560">
        <f aca="true" t="shared" si="84" ref="J135:J195">K135</f>
        <v>0</v>
      </c>
      <c r="K135" s="560"/>
      <c r="L135" s="560">
        <f>M135</f>
        <v>99.999333</v>
      </c>
      <c r="M135" s="560">
        <v>99.999333</v>
      </c>
      <c r="N135" s="560">
        <f>O135+Q135</f>
        <v>0</v>
      </c>
      <c r="O135" s="560">
        <f aca="true" t="shared" si="85" ref="O135:O195">P135</f>
        <v>0</v>
      </c>
      <c r="P135" s="560"/>
      <c r="Q135" s="560">
        <f aca="true" t="shared" si="86" ref="Q135:Q195">R135</f>
        <v>0</v>
      </c>
      <c r="R135" s="560"/>
      <c r="S135" s="584" t="e">
        <f>F135/C135</f>
        <v>#DIV/0!</v>
      </c>
      <c r="T135" s="584" t="e">
        <f>G135/D135</f>
        <v>#DIV/0!</v>
      </c>
      <c r="U135" s="584" t="e">
        <f>H135/E135</f>
        <v>#DIV/0!</v>
      </c>
      <c r="V135" s="553"/>
      <c r="W135" s="597"/>
    </row>
    <row r="136" spans="1:23" s="236" customFormat="1" ht="18">
      <c r="A136" s="563" t="s">
        <v>37</v>
      </c>
      <c r="B136" s="562" t="s">
        <v>580</v>
      </c>
      <c r="C136" s="560">
        <f aca="true" t="shared" si="87" ref="C136:C141">D136+E136</f>
        <v>0</v>
      </c>
      <c r="D136" s="560"/>
      <c r="E136" s="560"/>
      <c r="F136" s="560">
        <f aca="true" t="shared" si="88" ref="F136:F141">G136+H136</f>
        <v>2157.837</v>
      </c>
      <c r="G136" s="560">
        <f aca="true" t="shared" si="89" ref="G136:G141">J136+O136</f>
        <v>0</v>
      </c>
      <c r="H136" s="560">
        <f aca="true" t="shared" si="90" ref="H136:H141">L136+Q136</f>
        <v>2157.837</v>
      </c>
      <c r="I136" s="560">
        <f aca="true" t="shared" si="91" ref="I136:I141">J136+L136</f>
        <v>2157.837</v>
      </c>
      <c r="J136" s="560"/>
      <c r="K136" s="560"/>
      <c r="L136" s="560">
        <f aca="true" t="shared" si="92" ref="L136:L141">M136</f>
        <v>2157.837</v>
      </c>
      <c r="M136" s="560">
        <f>600.93+1556.907</f>
        <v>2157.837</v>
      </c>
      <c r="N136" s="560">
        <f aca="true" t="shared" si="93" ref="N136:N141">O136+Q136</f>
        <v>0</v>
      </c>
      <c r="O136" s="560">
        <f aca="true" t="shared" si="94" ref="O136:O141">P136</f>
        <v>0</v>
      </c>
      <c r="P136" s="560"/>
      <c r="Q136" s="560">
        <f aca="true" t="shared" si="95" ref="Q136:Q141">R136</f>
        <v>0</v>
      </c>
      <c r="R136" s="560"/>
      <c r="S136" s="584" t="e">
        <f aca="true" t="shared" si="96" ref="S136:S141">F136/C136</f>
        <v>#DIV/0!</v>
      </c>
      <c r="T136" s="584" t="e">
        <f aca="true" t="shared" si="97" ref="T136:T141">G136/D136</f>
        <v>#DIV/0!</v>
      </c>
      <c r="U136" s="584" t="e">
        <f aca="true" t="shared" si="98" ref="U136:U141">H136/E136</f>
        <v>#DIV/0!</v>
      </c>
      <c r="V136" s="553"/>
      <c r="W136" s="597"/>
    </row>
    <row r="137" spans="1:23" s="236" customFormat="1" ht="18">
      <c r="A137" s="563" t="s">
        <v>37</v>
      </c>
      <c r="B137" s="562" t="s">
        <v>581</v>
      </c>
      <c r="C137" s="560">
        <f t="shared" si="87"/>
        <v>0</v>
      </c>
      <c r="D137" s="560"/>
      <c r="E137" s="560"/>
      <c r="F137" s="560">
        <f t="shared" si="88"/>
        <v>99.973</v>
      </c>
      <c r="G137" s="560">
        <f t="shared" si="89"/>
        <v>0</v>
      </c>
      <c r="H137" s="560">
        <f t="shared" si="90"/>
        <v>99.973</v>
      </c>
      <c r="I137" s="560">
        <f t="shared" si="91"/>
        <v>99.973</v>
      </c>
      <c r="J137" s="560"/>
      <c r="K137" s="560"/>
      <c r="L137" s="560">
        <f t="shared" si="92"/>
        <v>99.973</v>
      </c>
      <c r="M137" s="560">
        <v>99.973</v>
      </c>
      <c r="N137" s="560">
        <f t="shared" si="93"/>
        <v>0</v>
      </c>
      <c r="O137" s="560">
        <f t="shared" si="94"/>
        <v>0</v>
      </c>
      <c r="P137" s="560"/>
      <c r="Q137" s="560">
        <f t="shared" si="95"/>
        <v>0</v>
      </c>
      <c r="R137" s="560"/>
      <c r="S137" s="584" t="e">
        <f t="shared" si="96"/>
        <v>#DIV/0!</v>
      </c>
      <c r="T137" s="584" t="e">
        <f t="shared" si="97"/>
        <v>#DIV/0!</v>
      </c>
      <c r="U137" s="584" t="e">
        <f t="shared" si="98"/>
        <v>#DIV/0!</v>
      </c>
      <c r="V137" s="553"/>
      <c r="W137" s="597"/>
    </row>
    <row r="138" spans="1:23" s="236" customFormat="1" ht="18">
      <c r="A138" s="563" t="s">
        <v>37</v>
      </c>
      <c r="B138" s="562" t="s">
        <v>550</v>
      </c>
      <c r="C138" s="560">
        <f t="shared" si="87"/>
        <v>0</v>
      </c>
      <c r="D138" s="560"/>
      <c r="E138" s="560"/>
      <c r="F138" s="560">
        <f t="shared" si="88"/>
        <v>99.047</v>
      </c>
      <c r="G138" s="560">
        <f t="shared" si="89"/>
        <v>0</v>
      </c>
      <c r="H138" s="560">
        <f t="shared" si="90"/>
        <v>99.047</v>
      </c>
      <c r="I138" s="560">
        <f t="shared" si="91"/>
        <v>99.047</v>
      </c>
      <c r="J138" s="560"/>
      <c r="K138" s="560"/>
      <c r="L138" s="560">
        <f t="shared" si="92"/>
        <v>99.047</v>
      </c>
      <c r="M138" s="560">
        <v>99.047</v>
      </c>
      <c r="N138" s="560">
        <f t="shared" si="93"/>
        <v>0</v>
      </c>
      <c r="O138" s="560">
        <f t="shared" si="94"/>
        <v>0</v>
      </c>
      <c r="P138" s="560"/>
      <c r="Q138" s="560">
        <f t="shared" si="95"/>
        <v>0</v>
      </c>
      <c r="R138" s="560"/>
      <c r="S138" s="584" t="e">
        <f t="shared" si="96"/>
        <v>#DIV/0!</v>
      </c>
      <c r="T138" s="584" t="e">
        <f t="shared" si="97"/>
        <v>#DIV/0!</v>
      </c>
      <c r="U138" s="584" t="e">
        <f t="shared" si="98"/>
        <v>#DIV/0!</v>
      </c>
      <c r="V138" s="553"/>
      <c r="W138" s="597"/>
    </row>
    <row r="139" spans="1:23" s="236" customFormat="1" ht="18">
      <c r="A139" s="563" t="s">
        <v>37</v>
      </c>
      <c r="B139" s="562" t="s">
        <v>583</v>
      </c>
      <c r="C139" s="560">
        <f t="shared" si="87"/>
        <v>0</v>
      </c>
      <c r="D139" s="560"/>
      <c r="E139" s="560"/>
      <c r="F139" s="560">
        <f t="shared" si="88"/>
        <v>192.7189</v>
      </c>
      <c r="G139" s="560">
        <f t="shared" si="89"/>
        <v>0</v>
      </c>
      <c r="H139" s="560">
        <f t="shared" si="90"/>
        <v>192.7189</v>
      </c>
      <c r="I139" s="560">
        <f t="shared" si="91"/>
        <v>192.7189</v>
      </c>
      <c r="J139" s="560"/>
      <c r="K139" s="560"/>
      <c r="L139" s="560">
        <f t="shared" si="92"/>
        <v>192.7189</v>
      </c>
      <c r="M139" s="560">
        <v>192.7189</v>
      </c>
      <c r="N139" s="560">
        <f t="shared" si="93"/>
        <v>0</v>
      </c>
      <c r="O139" s="560">
        <f t="shared" si="94"/>
        <v>0</v>
      </c>
      <c r="P139" s="560"/>
      <c r="Q139" s="560">
        <f t="shared" si="95"/>
        <v>0</v>
      </c>
      <c r="R139" s="560"/>
      <c r="S139" s="584" t="e">
        <f t="shared" si="96"/>
        <v>#DIV/0!</v>
      </c>
      <c r="T139" s="584" t="e">
        <f t="shared" si="97"/>
        <v>#DIV/0!</v>
      </c>
      <c r="U139" s="584" t="e">
        <f t="shared" si="98"/>
        <v>#DIV/0!</v>
      </c>
      <c r="V139" s="553"/>
      <c r="W139" s="597"/>
    </row>
    <row r="140" spans="1:23" s="236" customFormat="1" ht="18">
      <c r="A140" s="563" t="s">
        <v>37</v>
      </c>
      <c r="B140" s="562" t="s">
        <v>552</v>
      </c>
      <c r="C140" s="560">
        <f t="shared" si="87"/>
        <v>0</v>
      </c>
      <c r="D140" s="560"/>
      <c r="E140" s="560"/>
      <c r="F140" s="560">
        <f t="shared" si="88"/>
        <v>311.5005</v>
      </c>
      <c r="G140" s="560">
        <f t="shared" si="89"/>
        <v>0</v>
      </c>
      <c r="H140" s="560">
        <f t="shared" si="90"/>
        <v>311.5005</v>
      </c>
      <c r="I140" s="560">
        <f t="shared" si="91"/>
        <v>311.5005</v>
      </c>
      <c r="J140" s="560"/>
      <c r="K140" s="560"/>
      <c r="L140" s="560">
        <f t="shared" si="92"/>
        <v>311.5005</v>
      </c>
      <c r="M140" s="560">
        <v>311.5005</v>
      </c>
      <c r="N140" s="560">
        <f t="shared" si="93"/>
        <v>0</v>
      </c>
      <c r="O140" s="560">
        <f t="shared" si="94"/>
        <v>0</v>
      </c>
      <c r="P140" s="560"/>
      <c r="Q140" s="560">
        <f t="shared" si="95"/>
        <v>0</v>
      </c>
      <c r="R140" s="560"/>
      <c r="S140" s="584" t="e">
        <f t="shared" si="96"/>
        <v>#DIV/0!</v>
      </c>
      <c r="T140" s="584" t="e">
        <f t="shared" si="97"/>
        <v>#DIV/0!</v>
      </c>
      <c r="U140" s="584" t="e">
        <f t="shared" si="98"/>
        <v>#DIV/0!</v>
      </c>
      <c r="V140" s="553"/>
      <c r="W140" s="597"/>
    </row>
    <row r="141" spans="1:24" s="236" customFormat="1" ht="18">
      <c r="A141" s="563" t="s">
        <v>37</v>
      </c>
      <c r="B141" s="562" t="s">
        <v>582</v>
      </c>
      <c r="C141" s="560">
        <f t="shared" si="87"/>
        <v>0</v>
      </c>
      <c r="D141" s="560"/>
      <c r="E141" s="560"/>
      <c r="F141" s="560">
        <f t="shared" si="88"/>
        <v>292.698</v>
      </c>
      <c r="G141" s="560">
        <f t="shared" si="89"/>
        <v>0</v>
      </c>
      <c r="H141" s="560">
        <f t="shared" si="90"/>
        <v>292.698</v>
      </c>
      <c r="I141" s="560">
        <f t="shared" si="91"/>
        <v>292.698</v>
      </c>
      <c r="J141" s="560"/>
      <c r="K141" s="560"/>
      <c r="L141" s="560">
        <f t="shared" si="92"/>
        <v>292.698</v>
      </c>
      <c r="M141" s="560">
        <v>292.698</v>
      </c>
      <c r="N141" s="560">
        <f t="shared" si="93"/>
        <v>0</v>
      </c>
      <c r="O141" s="560">
        <f t="shared" si="94"/>
        <v>0</v>
      </c>
      <c r="P141" s="560"/>
      <c r="Q141" s="560">
        <f t="shared" si="95"/>
        <v>0</v>
      </c>
      <c r="R141" s="560"/>
      <c r="S141" s="584" t="e">
        <f t="shared" si="96"/>
        <v>#DIV/0!</v>
      </c>
      <c r="T141" s="584" t="e">
        <f t="shared" si="97"/>
        <v>#DIV/0!</v>
      </c>
      <c r="U141" s="584" t="e">
        <f t="shared" si="98"/>
        <v>#DIV/0!</v>
      </c>
      <c r="V141" s="553"/>
      <c r="W141" s="597"/>
      <c r="X141" s="600"/>
    </row>
    <row r="142" spans="1:22" s="238" customFormat="1" ht="297">
      <c r="A142" s="556">
        <v>3</v>
      </c>
      <c r="B142" s="565" t="s">
        <v>734</v>
      </c>
      <c r="C142" s="553">
        <f aca="true" t="shared" si="99" ref="C142:R142">SUM(C143:C148)</f>
        <v>0</v>
      </c>
      <c r="D142" s="553">
        <f t="shared" si="99"/>
        <v>0</v>
      </c>
      <c r="E142" s="553">
        <f t="shared" si="99"/>
        <v>0</v>
      </c>
      <c r="F142" s="553">
        <f t="shared" si="99"/>
        <v>285.76855</v>
      </c>
      <c r="G142" s="553">
        <f t="shared" si="99"/>
        <v>0</v>
      </c>
      <c r="H142" s="553">
        <f t="shared" si="99"/>
        <v>285.76855</v>
      </c>
      <c r="I142" s="553">
        <f t="shared" si="99"/>
        <v>285.76855</v>
      </c>
      <c r="J142" s="553">
        <f t="shared" si="99"/>
        <v>0</v>
      </c>
      <c r="K142" s="553">
        <f t="shared" si="99"/>
        <v>0</v>
      </c>
      <c r="L142" s="553">
        <f t="shared" si="99"/>
        <v>285.76855</v>
      </c>
      <c r="M142" s="553">
        <f t="shared" si="99"/>
        <v>285.76855</v>
      </c>
      <c r="N142" s="553">
        <f t="shared" si="99"/>
        <v>0</v>
      </c>
      <c r="O142" s="553">
        <f t="shared" si="99"/>
        <v>0</v>
      </c>
      <c r="P142" s="553">
        <f t="shared" si="99"/>
        <v>0</v>
      </c>
      <c r="Q142" s="553">
        <f t="shared" si="99"/>
        <v>0</v>
      </c>
      <c r="R142" s="553">
        <f t="shared" si="99"/>
        <v>0</v>
      </c>
      <c r="S142" s="584" t="e">
        <f aca="true" t="shared" si="100" ref="S142:S152">F142/C142</f>
        <v>#DIV/0!</v>
      </c>
      <c r="T142" s="584" t="e">
        <f aca="true" t="shared" si="101" ref="T142:T152">G142/D142</f>
        <v>#DIV/0!</v>
      </c>
      <c r="U142" s="584" t="e">
        <f aca="true" t="shared" si="102" ref="U142:U152">H142/E142</f>
        <v>#DIV/0!</v>
      </c>
      <c r="V142" s="560"/>
    </row>
    <row r="143" spans="1:23" s="238" customFormat="1" ht="18">
      <c r="A143" s="556" t="s">
        <v>37</v>
      </c>
      <c r="B143" s="562" t="s">
        <v>553</v>
      </c>
      <c r="C143" s="560">
        <f aca="true" t="shared" si="103" ref="C143:C148">D143+E143</f>
        <v>0</v>
      </c>
      <c r="D143" s="560"/>
      <c r="E143" s="560"/>
      <c r="F143" s="560">
        <f aca="true" t="shared" si="104" ref="F143:F148">G143+H143</f>
        <v>14.9871</v>
      </c>
      <c r="G143" s="560">
        <f aca="true" t="shared" si="105" ref="G143:G148">J143+O143</f>
        <v>0</v>
      </c>
      <c r="H143" s="560">
        <f aca="true" t="shared" si="106" ref="H143:H148">L143+Q143</f>
        <v>14.9871</v>
      </c>
      <c r="I143" s="560">
        <f aca="true" t="shared" si="107" ref="I143:I148">J143+L143</f>
        <v>14.9871</v>
      </c>
      <c r="J143" s="560">
        <f t="shared" si="84"/>
        <v>0</v>
      </c>
      <c r="K143" s="560"/>
      <c r="L143" s="560">
        <f aca="true" t="shared" si="108" ref="L143:L148">M143</f>
        <v>14.9871</v>
      </c>
      <c r="M143" s="560">
        <v>14.9871</v>
      </c>
      <c r="N143" s="560">
        <f aca="true" t="shared" si="109" ref="N143:N148">O143+Q143</f>
        <v>0</v>
      </c>
      <c r="O143" s="560">
        <f t="shared" si="85"/>
        <v>0</v>
      </c>
      <c r="P143" s="560"/>
      <c r="Q143" s="560">
        <f t="shared" si="86"/>
        <v>0</v>
      </c>
      <c r="R143" s="560"/>
      <c r="S143" s="584" t="e">
        <f t="shared" si="100"/>
        <v>#DIV/0!</v>
      </c>
      <c r="T143" s="584" t="e">
        <f t="shared" si="101"/>
        <v>#DIV/0!</v>
      </c>
      <c r="U143" s="584" t="e">
        <f t="shared" si="102"/>
        <v>#DIV/0!</v>
      </c>
      <c r="V143" s="560"/>
      <c r="W143" s="596"/>
    </row>
    <row r="144" spans="1:23" s="238" customFormat="1" ht="18">
      <c r="A144" s="556" t="s">
        <v>37</v>
      </c>
      <c r="B144" s="562" t="s">
        <v>554</v>
      </c>
      <c r="C144" s="560">
        <f t="shared" si="103"/>
        <v>0</v>
      </c>
      <c r="D144" s="560"/>
      <c r="E144" s="560"/>
      <c r="F144" s="560">
        <f t="shared" si="104"/>
        <v>14</v>
      </c>
      <c r="G144" s="560">
        <f t="shared" si="105"/>
        <v>0</v>
      </c>
      <c r="H144" s="560">
        <f t="shared" si="106"/>
        <v>14</v>
      </c>
      <c r="I144" s="560">
        <f t="shared" si="107"/>
        <v>14</v>
      </c>
      <c r="J144" s="560">
        <f>K144</f>
        <v>0</v>
      </c>
      <c r="K144" s="560"/>
      <c r="L144" s="560">
        <f t="shared" si="108"/>
        <v>14</v>
      </c>
      <c r="M144" s="560">
        <v>14</v>
      </c>
      <c r="N144" s="560">
        <f t="shared" si="109"/>
        <v>0</v>
      </c>
      <c r="O144" s="560">
        <f>P144</f>
        <v>0</v>
      </c>
      <c r="P144" s="560"/>
      <c r="Q144" s="560">
        <f>R144</f>
        <v>0</v>
      </c>
      <c r="R144" s="560"/>
      <c r="S144" s="584" t="e">
        <f aca="true" t="shared" si="110" ref="S144:U148">F144/C144</f>
        <v>#DIV/0!</v>
      </c>
      <c r="T144" s="584" t="e">
        <f t="shared" si="110"/>
        <v>#DIV/0!</v>
      </c>
      <c r="U144" s="584" t="e">
        <f t="shared" si="110"/>
        <v>#DIV/0!</v>
      </c>
      <c r="V144" s="560"/>
      <c r="W144" s="596"/>
    </row>
    <row r="145" spans="1:23" s="238" customFormat="1" ht="18">
      <c r="A145" s="556" t="s">
        <v>37</v>
      </c>
      <c r="B145" s="562" t="s">
        <v>555</v>
      </c>
      <c r="C145" s="560">
        <f t="shared" si="103"/>
        <v>0</v>
      </c>
      <c r="D145" s="560"/>
      <c r="E145" s="560"/>
      <c r="F145" s="560">
        <f t="shared" si="104"/>
        <v>13.85945</v>
      </c>
      <c r="G145" s="560">
        <f t="shared" si="105"/>
        <v>0</v>
      </c>
      <c r="H145" s="560">
        <f t="shared" si="106"/>
        <v>13.85945</v>
      </c>
      <c r="I145" s="560">
        <f t="shared" si="107"/>
        <v>13.85945</v>
      </c>
      <c r="J145" s="560">
        <f>K145</f>
        <v>0</v>
      </c>
      <c r="K145" s="560"/>
      <c r="L145" s="560">
        <f t="shared" si="108"/>
        <v>13.85945</v>
      </c>
      <c r="M145" s="560">
        <v>13.85945</v>
      </c>
      <c r="N145" s="560">
        <f t="shared" si="109"/>
        <v>0</v>
      </c>
      <c r="O145" s="560">
        <f>P145</f>
        <v>0</v>
      </c>
      <c r="P145" s="560"/>
      <c r="Q145" s="560">
        <f>R145</f>
        <v>0</v>
      </c>
      <c r="R145" s="560"/>
      <c r="S145" s="584" t="e">
        <f t="shared" si="110"/>
        <v>#DIV/0!</v>
      </c>
      <c r="T145" s="584" t="e">
        <f t="shared" si="110"/>
        <v>#DIV/0!</v>
      </c>
      <c r="U145" s="584" t="e">
        <f t="shared" si="110"/>
        <v>#DIV/0!</v>
      </c>
      <c r="V145" s="560"/>
      <c r="W145" s="596"/>
    </row>
    <row r="146" spans="1:23" s="238" customFormat="1" ht="18">
      <c r="A146" s="556" t="s">
        <v>37</v>
      </c>
      <c r="B146" s="562" t="s">
        <v>548</v>
      </c>
      <c r="C146" s="560">
        <f t="shared" si="103"/>
        <v>0</v>
      </c>
      <c r="D146" s="560"/>
      <c r="E146" s="560"/>
      <c r="F146" s="560">
        <f t="shared" si="104"/>
        <v>213.922</v>
      </c>
      <c r="G146" s="560">
        <f t="shared" si="105"/>
        <v>0</v>
      </c>
      <c r="H146" s="560">
        <f t="shared" si="106"/>
        <v>213.922</v>
      </c>
      <c r="I146" s="560">
        <f t="shared" si="107"/>
        <v>213.922</v>
      </c>
      <c r="J146" s="560">
        <f>K146</f>
        <v>0</v>
      </c>
      <c r="K146" s="560"/>
      <c r="L146" s="560">
        <f t="shared" si="108"/>
        <v>213.922</v>
      </c>
      <c r="M146" s="560">
        <v>213.922</v>
      </c>
      <c r="N146" s="560">
        <f t="shared" si="109"/>
        <v>0</v>
      </c>
      <c r="O146" s="560">
        <f>P146</f>
        <v>0</v>
      </c>
      <c r="P146" s="560"/>
      <c r="Q146" s="560">
        <f>R146</f>
        <v>0</v>
      </c>
      <c r="R146" s="560"/>
      <c r="S146" s="584" t="e">
        <f t="shared" si="110"/>
        <v>#DIV/0!</v>
      </c>
      <c r="T146" s="584" t="e">
        <f t="shared" si="110"/>
        <v>#DIV/0!</v>
      </c>
      <c r="U146" s="584" t="e">
        <f t="shared" si="110"/>
        <v>#DIV/0!</v>
      </c>
      <c r="V146" s="560"/>
      <c r="W146" s="596"/>
    </row>
    <row r="147" spans="1:23" s="238" customFormat="1" ht="18">
      <c r="A147" s="556" t="s">
        <v>37</v>
      </c>
      <c r="B147" s="562" t="s">
        <v>551</v>
      </c>
      <c r="C147" s="560">
        <f t="shared" si="103"/>
        <v>0</v>
      </c>
      <c r="D147" s="560"/>
      <c r="E147" s="560"/>
      <c r="F147" s="560">
        <f t="shared" si="104"/>
        <v>14</v>
      </c>
      <c r="G147" s="560">
        <f t="shared" si="105"/>
        <v>0</v>
      </c>
      <c r="H147" s="560">
        <f t="shared" si="106"/>
        <v>14</v>
      </c>
      <c r="I147" s="560">
        <f t="shared" si="107"/>
        <v>14</v>
      </c>
      <c r="J147" s="560">
        <f>K147</f>
        <v>0</v>
      </c>
      <c r="K147" s="560"/>
      <c r="L147" s="560">
        <f t="shared" si="108"/>
        <v>14</v>
      </c>
      <c r="M147" s="560">
        <v>14</v>
      </c>
      <c r="N147" s="560">
        <f t="shared" si="109"/>
        <v>0</v>
      </c>
      <c r="O147" s="560">
        <f>P147</f>
        <v>0</v>
      </c>
      <c r="P147" s="560"/>
      <c r="Q147" s="560">
        <f>R147</f>
        <v>0</v>
      </c>
      <c r="R147" s="560"/>
      <c r="S147" s="584" t="e">
        <f t="shared" si="110"/>
        <v>#DIV/0!</v>
      </c>
      <c r="T147" s="584" t="e">
        <f t="shared" si="110"/>
        <v>#DIV/0!</v>
      </c>
      <c r="U147" s="584" t="e">
        <f t="shared" si="110"/>
        <v>#DIV/0!</v>
      </c>
      <c r="V147" s="560"/>
      <c r="W147" s="596"/>
    </row>
    <row r="148" spans="1:23" s="238" customFormat="1" ht="18">
      <c r="A148" s="556" t="s">
        <v>37</v>
      </c>
      <c r="B148" s="562" t="s">
        <v>547</v>
      </c>
      <c r="C148" s="560">
        <f t="shared" si="103"/>
        <v>0</v>
      </c>
      <c r="D148" s="560"/>
      <c r="E148" s="560"/>
      <c r="F148" s="560">
        <f t="shared" si="104"/>
        <v>15</v>
      </c>
      <c r="G148" s="560">
        <f t="shared" si="105"/>
        <v>0</v>
      </c>
      <c r="H148" s="560">
        <f t="shared" si="106"/>
        <v>15</v>
      </c>
      <c r="I148" s="560">
        <f t="shared" si="107"/>
        <v>15</v>
      </c>
      <c r="J148" s="560">
        <f>K148</f>
        <v>0</v>
      </c>
      <c r="K148" s="560"/>
      <c r="L148" s="560">
        <f t="shared" si="108"/>
        <v>15</v>
      </c>
      <c r="M148" s="560">
        <v>15</v>
      </c>
      <c r="N148" s="560">
        <f t="shared" si="109"/>
        <v>0</v>
      </c>
      <c r="O148" s="560">
        <f>P148</f>
        <v>0</v>
      </c>
      <c r="P148" s="560"/>
      <c r="Q148" s="560">
        <f>R148</f>
        <v>0</v>
      </c>
      <c r="R148" s="560"/>
      <c r="S148" s="584" t="e">
        <f t="shared" si="110"/>
        <v>#DIV/0!</v>
      </c>
      <c r="T148" s="584" t="e">
        <f t="shared" si="110"/>
        <v>#DIV/0!</v>
      </c>
      <c r="U148" s="584" t="e">
        <f t="shared" si="110"/>
        <v>#DIV/0!</v>
      </c>
      <c r="V148" s="560"/>
      <c r="W148" s="596"/>
    </row>
    <row r="149" spans="1:23" s="238" customFormat="1" ht="227.25">
      <c r="A149" s="556">
        <v>4</v>
      </c>
      <c r="B149" s="565" t="s">
        <v>738</v>
      </c>
      <c r="C149" s="553">
        <f>SUM(C150:C151)</f>
        <v>0</v>
      </c>
      <c r="D149" s="553">
        <f aca="true" t="shared" si="111" ref="D149:R149">SUM(D150:D151)</f>
        <v>0</v>
      </c>
      <c r="E149" s="553">
        <f t="shared" si="111"/>
        <v>0</v>
      </c>
      <c r="F149" s="553">
        <f t="shared" si="111"/>
        <v>513.923</v>
      </c>
      <c r="G149" s="553">
        <f t="shared" si="111"/>
        <v>0</v>
      </c>
      <c r="H149" s="553">
        <f t="shared" si="111"/>
        <v>513.923</v>
      </c>
      <c r="I149" s="553">
        <f t="shared" si="111"/>
        <v>513.923</v>
      </c>
      <c r="J149" s="553">
        <f t="shared" si="111"/>
        <v>0</v>
      </c>
      <c r="K149" s="553">
        <f t="shared" si="111"/>
        <v>0</v>
      </c>
      <c r="L149" s="553">
        <f t="shared" si="111"/>
        <v>513.923</v>
      </c>
      <c r="M149" s="553">
        <f>SUM(M150:M151)</f>
        <v>513.923</v>
      </c>
      <c r="N149" s="553">
        <f t="shared" si="111"/>
        <v>0</v>
      </c>
      <c r="O149" s="553">
        <f t="shared" si="111"/>
        <v>0</v>
      </c>
      <c r="P149" s="553">
        <f t="shared" si="111"/>
        <v>0</v>
      </c>
      <c r="Q149" s="553">
        <f t="shared" si="111"/>
        <v>0</v>
      </c>
      <c r="R149" s="553">
        <f t="shared" si="111"/>
        <v>0</v>
      </c>
      <c r="S149" s="584" t="e">
        <f t="shared" si="100"/>
        <v>#DIV/0!</v>
      </c>
      <c r="T149" s="584" t="e">
        <f t="shared" si="101"/>
        <v>#DIV/0!</v>
      </c>
      <c r="U149" s="584" t="e">
        <f t="shared" si="102"/>
        <v>#DIV/0!</v>
      </c>
      <c r="V149" s="560"/>
      <c r="W149" s="596"/>
    </row>
    <row r="150" spans="1:23" s="238" customFormat="1" ht="18">
      <c r="A150" s="556" t="s">
        <v>37</v>
      </c>
      <c r="B150" s="562" t="s">
        <v>580</v>
      </c>
      <c r="C150" s="560">
        <f>D150+E150</f>
        <v>0</v>
      </c>
      <c r="D150" s="560"/>
      <c r="E150" s="560"/>
      <c r="F150" s="560">
        <f>G150+H150</f>
        <v>500</v>
      </c>
      <c r="G150" s="560">
        <f>J150+O150</f>
        <v>0</v>
      </c>
      <c r="H150" s="560">
        <f>L150+Q150</f>
        <v>500</v>
      </c>
      <c r="I150" s="560">
        <f>J150+L150</f>
        <v>500</v>
      </c>
      <c r="J150" s="560">
        <f t="shared" si="84"/>
        <v>0</v>
      </c>
      <c r="K150" s="560"/>
      <c r="L150" s="560">
        <f>M150</f>
        <v>500</v>
      </c>
      <c r="M150" s="560">
        <v>500</v>
      </c>
      <c r="N150" s="560">
        <f>O150+Q150</f>
        <v>0</v>
      </c>
      <c r="O150" s="560">
        <f t="shared" si="85"/>
        <v>0</v>
      </c>
      <c r="P150" s="560"/>
      <c r="Q150" s="560">
        <f t="shared" si="86"/>
        <v>0</v>
      </c>
      <c r="R150" s="560"/>
      <c r="S150" s="584" t="e">
        <f t="shared" si="100"/>
        <v>#DIV/0!</v>
      </c>
      <c r="T150" s="584" t="e">
        <f t="shared" si="101"/>
        <v>#DIV/0!</v>
      </c>
      <c r="U150" s="584" t="e">
        <f t="shared" si="102"/>
        <v>#DIV/0!</v>
      </c>
      <c r="V150" s="560"/>
      <c r="W150" s="596"/>
    </row>
    <row r="151" spans="1:23" s="238" customFormat="1" ht="18">
      <c r="A151" s="556" t="s">
        <v>37</v>
      </c>
      <c r="B151" s="562" t="s">
        <v>556</v>
      </c>
      <c r="C151" s="560">
        <f>D151+E151</f>
        <v>0</v>
      </c>
      <c r="D151" s="560"/>
      <c r="E151" s="560"/>
      <c r="F151" s="560">
        <f>G151+H151</f>
        <v>13.923</v>
      </c>
      <c r="G151" s="560">
        <f>J151+O151</f>
        <v>0</v>
      </c>
      <c r="H151" s="560">
        <f>L151+Q151</f>
        <v>13.923</v>
      </c>
      <c r="I151" s="560">
        <f>J151+L151</f>
        <v>13.923</v>
      </c>
      <c r="J151" s="560">
        <f>K151</f>
        <v>0</v>
      </c>
      <c r="K151" s="560"/>
      <c r="L151" s="560">
        <f>M151</f>
        <v>13.923</v>
      </c>
      <c r="M151" s="560">
        <v>13.923</v>
      </c>
      <c r="N151" s="560">
        <f>O151+Q151</f>
        <v>0</v>
      </c>
      <c r="O151" s="560">
        <f>P151</f>
        <v>0</v>
      </c>
      <c r="P151" s="560"/>
      <c r="Q151" s="560">
        <f>R151</f>
        <v>0</v>
      </c>
      <c r="R151" s="560"/>
      <c r="S151" s="584" t="e">
        <f>F151/C151</f>
        <v>#DIV/0!</v>
      </c>
      <c r="T151" s="584" t="e">
        <f>G151/D151</f>
        <v>#DIV/0!</v>
      </c>
      <c r="U151" s="584" t="e">
        <f>H151/E151</f>
        <v>#DIV/0!</v>
      </c>
      <c r="V151" s="560"/>
      <c r="W151" s="596"/>
    </row>
    <row r="152" spans="1:23" s="238" customFormat="1" ht="52.5">
      <c r="A152" s="556">
        <v>5</v>
      </c>
      <c r="B152" s="565" t="s">
        <v>742</v>
      </c>
      <c r="C152" s="553">
        <f aca="true" t="shared" si="112" ref="C152:R152">SUM(C153:C154)</f>
        <v>0</v>
      </c>
      <c r="D152" s="553">
        <f t="shared" si="112"/>
        <v>0</v>
      </c>
      <c r="E152" s="553">
        <f t="shared" si="112"/>
        <v>0</v>
      </c>
      <c r="F152" s="553">
        <f t="shared" si="112"/>
        <v>188.43200000000002</v>
      </c>
      <c r="G152" s="553">
        <f t="shared" si="112"/>
        <v>0</v>
      </c>
      <c r="H152" s="553">
        <f t="shared" si="112"/>
        <v>188.43200000000002</v>
      </c>
      <c r="I152" s="553">
        <f t="shared" si="112"/>
        <v>188.43200000000002</v>
      </c>
      <c r="J152" s="553">
        <f t="shared" si="112"/>
        <v>0</v>
      </c>
      <c r="K152" s="553">
        <f t="shared" si="112"/>
        <v>0</v>
      </c>
      <c r="L152" s="553">
        <f t="shared" si="112"/>
        <v>188.43200000000002</v>
      </c>
      <c r="M152" s="553">
        <f t="shared" si="112"/>
        <v>188.43200000000002</v>
      </c>
      <c r="N152" s="553">
        <f t="shared" si="112"/>
        <v>0</v>
      </c>
      <c r="O152" s="553">
        <f t="shared" si="112"/>
        <v>0</v>
      </c>
      <c r="P152" s="553">
        <f t="shared" si="112"/>
        <v>0</v>
      </c>
      <c r="Q152" s="553">
        <f t="shared" si="112"/>
        <v>0</v>
      </c>
      <c r="R152" s="553">
        <f t="shared" si="112"/>
        <v>0</v>
      </c>
      <c r="S152" s="584" t="e">
        <f t="shared" si="100"/>
        <v>#DIV/0!</v>
      </c>
      <c r="T152" s="584" t="e">
        <f t="shared" si="101"/>
        <v>#DIV/0!</v>
      </c>
      <c r="U152" s="584" t="e">
        <f t="shared" si="102"/>
        <v>#DIV/0!</v>
      </c>
      <c r="V152" s="560"/>
      <c r="W152" s="596"/>
    </row>
    <row r="153" spans="1:23" s="238" customFormat="1" ht="18">
      <c r="A153" s="556" t="s">
        <v>37</v>
      </c>
      <c r="B153" s="562" t="s">
        <v>580</v>
      </c>
      <c r="C153" s="560">
        <f>D153+E153</f>
        <v>0</v>
      </c>
      <c r="D153" s="560"/>
      <c r="E153" s="560"/>
      <c r="F153" s="560">
        <f>G153+H153</f>
        <v>98.95</v>
      </c>
      <c r="G153" s="560">
        <f>J153+O153</f>
        <v>0</v>
      </c>
      <c r="H153" s="560">
        <f>L153+Q153</f>
        <v>98.95</v>
      </c>
      <c r="I153" s="560">
        <f>J153+L153</f>
        <v>98.95</v>
      </c>
      <c r="J153" s="560">
        <f>K153</f>
        <v>0</v>
      </c>
      <c r="K153" s="560"/>
      <c r="L153" s="560">
        <f>M153</f>
        <v>98.95</v>
      </c>
      <c r="M153" s="560">
        <v>98.95</v>
      </c>
      <c r="N153" s="560">
        <f>O153+Q153</f>
        <v>0</v>
      </c>
      <c r="O153" s="560">
        <f>P153</f>
        <v>0</v>
      </c>
      <c r="P153" s="560"/>
      <c r="Q153" s="560">
        <f>R153</f>
        <v>0</v>
      </c>
      <c r="R153" s="560"/>
      <c r="S153" s="584" t="e">
        <f aca="true" t="shared" si="113" ref="S153:U154">F153/C153</f>
        <v>#DIV/0!</v>
      </c>
      <c r="T153" s="584" t="e">
        <f t="shared" si="113"/>
        <v>#DIV/0!</v>
      </c>
      <c r="U153" s="584" t="e">
        <f t="shared" si="113"/>
        <v>#DIV/0!</v>
      </c>
      <c r="V153" s="560"/>
      <c r="W153" s="596"/>
    </row>
    <row r="154" spans="1:23" s="238" customFormat="1" ht="18">
      <c r="A154" s="556" t="s">
        <v>37</v>
      </c>
      <c r="B154" s="562" t="s">
        <v>552</v>
      </c>
      <c r="C154" s="560">
        <f>D154+E154</f>
        <v>0</v>
      </c>
      <c r="D154" s="560"/>
      <c r="E154" s="560"/>
      <c r="F154" s="560">
        <f>G154+H154</f>
        <v>89.482</v>
      </c>
      <c r="G154" s="560">
        <f>J154+O154</f>
        <v>0</v>
      </c>
      <c r="H154" s="560">
        <f>L154+Q154</f>
        <v>89.482</v>
      </c>
      <c r="I154" s="560">
        <f>J154+L154</f>
        <v>89.482</v>
      </c>
      <c r="J154" s="560">
        <f>K154</f>
        <v>0</v>
      </c>
      <c r="K154" s="560"/>
      <c r="L154" s="560">
        <f>M154</f>
        <v>89.482</v>
      </c>
      <c r="M154" s="560">
        <v>89.482</v>
      </c>
      <c r="N154" s="560">
        <f>O154+Q154</f>
        <v>0</v>
      </c>
      <c r="O154" s="560">
        <f>P154</f>
        <v>0</v>
      </c>
      <c r="P154" s="560"/>
      <c r="Q154" s="560">
        <f>R154</f>
        <v>0</v>
      </c>
      <c r="R154" s="560"/>
      <c r="S154" s="584" t="e">
        <f t="shared" si="113"/>
        <v>#DIV/0!</v>
      </c>
      <c r="T154" s="584" t="e">
        <f t="shared" si="113"/>
        <v>#DIV/0!</v>
      </c>
      <c r="U154" s="584" t="e">
        <f t="shared" si="113"/>
        <v>#DIV/0!</v>
      </c>
      <c r="V154" s="560"/>
      <c r="W154" s="596"/>
    </row>
    <row r="155" spans="1:23" s="236" customFormat="1" ht="87">
      <c r="A155" s="556" t="s">
        <v>44</v>
      </c>
      <c r="B155" s="565" t="s">
        <v>585</v>
      </c>
      <c r="C155" s="553">
        <f aca="true" t="shared" si="114" ref="C155:R155">C156+C187+C213+C233</f>
        <v>38089.98315</v>
      </c>
      <c r="D155" s="553">
        <f t="shared" si="114"/>
        <v>9324</v>
      </c>
      <c r="E155" s="553">
        <f t="shared" si="114"/>
        <v>28765.98315</v>
      </c>
      <c r="F155" s="553">
        <f t="shared" si="114"/>
        <v>23725.124727000002</v>
      </c>
      <c r="G155" s="553">
        <f t="shared" si="114"/>
        <v>10339.117</v>
      </c>
      <c r="H155" s="553">
        <f t="shared" si="114"/>
        <v>13386.007726999998</v>
      </c>
      <c r="I155" s="553">
        <f t="shared" si="114"/>
        <v>23725.124727000002</v>
      </c>
      <c r="J155" s="553">
        <f t="shared" si="114"/>
        <v>10339.117</v>
      </c>
      <c r="K155" s="553">
        <f t="shared" si="114"/>
        <v>10339.117</v>
      </c>
      <c r="L155" s="553">
        <f t="shared" si="114"/>
        <v>13386.007726999998</v>
      </c>
      <c r="M155" s="553">
        <f t="shared" si="114"/>
        <v>13386.007726999998</v>
      </c>
      <c r="N155" s="553">
        <f t="shared" si="114"/>
        <v>0</v>
      </c>
      <c r="O155" s="553">
        <f t="shared" si="114"/>
        <v>0</v>
      </c>
      <c r="P155" s="553">
        <f t="shared" si="114"/>
        <v>0</v>
      </c>
      <c r="Q155" s="553">
        <f t="shared" si="114"/>
        <v>0</v>
      </c>
      <c r="R155" s="553">
        <f t="shared" si="114"/>
        <v>0</v>
      </c>
      <c r="S155" s="584">
        <f t="shared" si="80"/>
        <v>0.622870444273221</v>
      </c>
      <c r="T155" s="584">
        <f t="shared" si="81"/>
        <v>1.1088714071214072</v>
      </c>
      <c r="U155" s="584">
        <f t="shared" si="82"/>
        <v>0.4653415687966847</v>
      </c>
      <c r="V155" s="560"/>
      <c r="W155" s="596"/>
    </row>
    <row r="156" spans="1:23" s="238" customFormat="1" ht="52.5">
      <c r="A156" s="556">
        <v>1</v>
      </c>
      <c r="B156" s="565" t="s">
        <v>743</v>
      </c>
      <c r="C156" s="553">
        <f aca="true" t="shared" si="115" ref="C156:R156">C157+C170</f>
        <v>3202.64</v>
      </c>
      <c r="D156" s="553">
        <f t="shared" si="115"/>
        <v>1896</v>
      </c>
      <c r="E156" s="553">
        <f t="shared" si="115"/>
        <v>1306.6399999999999</v>
      </c>
      <c r="F156" s="553">
        <f t="shared" si="115"/>
        <v>1112.3987</v>
      </c>
      <c r="G156" s="553">
        <f t="shared" si="115"/>
        <v>0</v>
      </c>
      <c r="H156" s="553">
        <f t="shared" si="115"/>
        <v>1112.3987</v>
      </c>
      <c r="I156" s="553">
        <f t="shared" si="115"/>
        <v>1112.3987</v>
      </c>
      <c r="J156" s="553">
        <f t="shared" si="115"/>
        <v>0</v>
      </c>
      <c r="K156" s="553">
        <f t="shared" si="115"/>
        <v>0</v>
      </c>
      <c r="L156" s="553">
        <f t="shared" si="115"/>
        <v>1112.3987</v>
      </c>
      <c r="M156" s="553">
        <f t="shared" si="115"/>
        <v>1112.3987</v>
      </c>
      <c r="N156" s="553">
        <f t="shared" si="115"/>
        <v>0</v>
      </c>
      <c r="O156" s="553">
        <f t="shared" si="115"/>
        <v>0</v>
      </c>
      <c r="P156" s="553">
        <f t="shared" si="115"/>
        <v>0</v>
      </c>
      <c r="Q156" s="553">
        <f t="shared" si="115"/>
        <v>0</v>
      </c>
      <c r="R156" s="553">
        <f t="shared" si="115"/>
        <v>0</v>
      </c>
      <c r="S156" s="584">
        <f t="shared" si="80"/>
        <v>0.34733803986710965</v>
      </c>
      <c r="T156" s="584">
        <f t="shared" si="81"/>
        <v>0</v>
      </c>
      <c r="U156" s="584">
        <f t="shared" si="82"/>
        <v>0.851342910059389</v>
      </c>
      <c r="V156" s="553"/>
      <c r="W156" s="596"/>
    </row>
    <row r="157" spans="1:23" s="238" customFormat="1" ht="18">
      <c r="A157" s="563" t="s">
        <v>250</v>
      </c>
      <c r="B157" s="574" t="s">
        <v>762</v>
      </c>
      <c r="C157" s="560">
        <f aca="true" t="shared" si="116" ref="C157:R157">SUM(C158:C169)</f>
        <v>1005</v>
      </c>
      <c r="D157" s="560">
        <f t="shared" si="116"/>
        <v>0</v>
      </c>
      <c r="E157" s="560">
        <f t="shared" si="116"/>
        <v>1005</v>
      </c>
      <c r="F157" s="560">
        <f t="shared" si="116"/>
        <v>874.148</v>
      </c>
      <c r="G157" s="560">
        <f t="shared" si="116"/>
        <v>0</v>
      </c>
      <c r="H157" s="560">
        <f t="shared" si="116"/>
        <v>874.148</v>
      </c>
      <c r="I157" s="560">
        <f t="shared" si="116"/>
        <v>874.148</v>
      </c>
      <c r="J157" s="560">
        <f t="shared" si="116"/>
        <v>0</v>
      </c>
      <c r="K157" s="560">
        <f t="shared" si="116"/>
        <v>0</v>
      </c>
      <c r="L157" s="560">
        <f t="shared" si="116"/>
        <v>874.148</v>
      </c>
      <c r="M157" s="560">
        <f t="shared" si="116"/>
        <v>874.148</v>
      </c>
      <c r="N157" s="560">
        <f t="shared" si="116"/>
        <v>0</v>
      </c>
      <c r="O157" s="560">
        <f t="shared" si="116"/>
        <v>0</v>
      </c>
      <c r="P157" s="560">
        <f t="shared" si="116"/>
        <v>0</v>
      </c>
      <c r="Q157" s="560">
        <f t="shared" si="116"/>
        <v>0</v>
      </c>
      <c r="R157" s="560">
        <f t="shared" si="116"/>
        <v>0</v>
      </c>
      <c r="S157" s="584">
        <f t="shared" si="80"/>
        <v>0.8697990049751244</v>
      </c>
      <c r="T157" s="584" t="e">
        <f t="shared" si="81"/>
        <v>#DIV/0!</v>
      </c>
      <c r="U157" s="584">
        <f t="shared" si="82"/>
        <v>0.8697990049751244</v>
      </c>
      <c r="V157" s="560"/>
      <c r="W157" s="596"/>
    </row>
    <row r="158" spans="1:23" s="238" customFormat="1" ht="18">
      <c r="A158" s="563"/>
      <c r="B158" s="574" t="s">
        <v>557</v>
      </c>
      <c r="C158" s="560">
        <f t="shared" si="83"/>
        <v>200</v>
      </c>
      <c r="D158" s="560"/>
      <c r="E158" s="560">
        <v>200</v>
      </c>
      <c r="F158" s="560">
        <f aca="true" t="shared" si="117" ref="F158:F196">G158+H158</f>
        <v>200</v>
      </c>
      <c r="G158" s="560">
        <f aca="true" t="shared" si="118" ref="G158:G195">J158+O158</f>
        <v>0</v>
      </c>
      <c r="H158" s="560">
        <f aca="true" t="shared" si="119" ref="H158:H195">L158+Q158</f>
        <v>200</v>
      </c>
      <c r="I158" s="560">
        <f aca="true" t="shared" si="120" ref="I158:I195">J158+L158</f>
        <v>200</v>
      </c>
      <c r="J158" s="560">
        <f t="shared" si="84"/>
        <v>0</v>
      </c>
      <c r="K158" s="560"/>
      <c r="L158" s="560">
        <f aca="true" t="shared" si="121" ref="L158:L169">M158</f>
        <v>200</v>
      </c>
      <c r="M158" s="560">
        <v>200</v>
      </c>
      <c r="N158" s="560">
        <f aca="true" t="shared" si="122" ref="N158:N195">O158+Q158</f>
        <v>0</v>
      </c>
      <c r="O158" s="560">
        <f t="shared" si="85"/>
        <v>0</v>
      </c>
      <c r="P158" s="560"/>
      <c r="Q158" s="560">
        <f t="shared" si="86"/>
        <v>0</v>
      </c>
      <c r="R158" s="560"/>
      <c r="S158" s="584">
        <f t="shared" si="80"/>
        <v>1</v>
      </c>
      <c r="T158" s="584" t="e">
        <f t="shared" si="81"/>
        <v>#DIV/0!</v>
      </c>
      <c r="U158" s="584">
        <f t="shared" si="82"/>
        <v>1</v>
      </c>
      <c r="V158" s="560"/>
      <c r="W158" s="596"/>
    </row>
    <row r="159" spans="1:23" s="238" customFormat="1" ht="18">
      <c r="A159" s="563"/>
      <c r="B159" s="574" t="s">
        <v>556</v>
      </c>
      <c r="C159" s="560">
        <f t="shared" si="83"/>
        <v>95</v>
      </c>
      <c r="D159" s="560"/>
      <c r="E159" s="560">
        <v>95</v>
      </c>
      <c r="F159" s="560">
        <f t="shared" si="117"/>
        <v>95</v>
      </c>
      <c r="G159" s="560">
        <f t="shared" si="118"/>
        <v>0</v>
      </c>
      <c r="H159" s="560">
        <f t="shared" si="119"/>
        <v>95</v>
      </c>
      <c r="I159" s="560">
        <f t="shared" si="120"/>
        <v>95</v>
      </c>
      <c r="J159" s="560">
        <f t="shared" si="84"/>
        <v>0</v>
      </c>
      <c r="K159" s="560"/>
      <c r="L159" s="560">
        <f t="shared" si="121"/>
        <v>95</v>
      </c>
      <c r="M159" s="560">
        <v>95</v>
      </c>
      <c r="N159" s="560">
        <f t="shared" si="122"/>
        <v>0</v>
      </c>
      <c r="O159" s="560">
        <f t="shared" si="85"/>
        <v>0</v>
      </c>
      <c r="P159" s="560"/>
      <c r="Q159" s="560">
        <f t="shared" si="86"/>
        <v>0</v>
      </c>
      <c r="R159" s="560"/>
      <c r="S159" s="584">
        <f t="shared" si="80"/>
        <v>1</v>
      </c>
      <c r="T159" s="584" t="e">
        <f t="shared" si="81"/>
        <v>#DIV/0!</v>
      </c>
      <c r="U159" s="584">
        <f t="shared" si="82"/>
        <v>1</v>
      </c>
      <c r="V159" s="560"/>
      <c r="W159" s="596"/>
    </row>
    <row r="160" spans="1:23" s="238" customFormat="1" ht="18">
      <c r="A160" s="563"/>
      <c r="B160" s="574" t="s">
        <v>555</v>
      </c>
      <c r="C160" s="560">
        <f t="shared" si="83"/>
        <v>95</v>
      </c>
      <c r="D160" s="560"/>
      <c r="E160" s="560">
        <v>95</v>
      </c>
      <c r="F160" s="560">
        <f t="shared" si="117"/>
        <v>95</v>
      </c>
      <c r="G160" s="560">
        <f t="shared" si="118"/>
        <v>0</v>
      </c>
      <c r="H160" s="560">
        <f t="shared" si="119"/>
        <v>95</v>
      </c>
      <c r="I160" s="560">
        <f t="shared" si="120"/>
        <v>95</v>
      </c>
      <c r="J160" s="560">
        <f t="shared" si="84"/>
        <v>0</v>
      </c>
      <c r="K160" s="560"/>
      <c r="L160" s="560">
        <f t="shared" si="121"/>
        <v>95</v>
      </c>
      <c r="M160" s="560">
        <v>95</v>
      </c>
      <c r="N160" s="560">
        <f t="shared" si="122"/>
        <v>0</v>
      </c>
      <c r="O160" s="560">
        <f t="shared" si="85"/>
        <v>0</v>
      </c>
      <c r="P160" s="560"/>
      <c r="Q160" s="560">
        <f t="shared" si="86"/>
        <v>0</v>
      </c>
      <c r="R160" s="560"/>
      <c r="S160" s="584">
        <f t="shared" si="80"/>
        <v>1</v>
      </c>
      <c r="T160" s="584" t="e">
        <f t="shared" si="81"/>
        <v>#DIV/0!</v>
      </c>
      <c r="U160" s="584">
        <f t="shared" si="82"/>
        <v>1</v>
      </c>
      <c r="V160" s="560"/>
      <c r="W160" s="596"/>
    </row>
    <row r="161" spans="1:23" s="238" customFormat="1" ht="18">
      <c r="A161" s="563"/>
      <c r="B161" s="574" t="s">
        <v>558</v>
      </c>
      <c r="C161" s="560">
        <f t="shared" si="83"/>
        <v>50</v>
      </c>
      <c r="D161" s="560"/>
      <c r="E161" s="560">
        <v>50</v>
      </c>
      <c r="F161" s="560">
        <f t="shared" si="117"/>
        <v>50</v>
      </c>
      <c r="G161" s="560">
        <f t="shared" si="118"/>
        <v>0</v>
      </c>
      <c r="H161" s="560">
        <f t="shared" si="119"/>
        <v>50</v>
      </c>
      <c r="I161" s="560">
        <f t="shared" si="120"/>
        <v>50</v>
      </c>
      <c r="J161" s="560">
        <f t="shared" si="84"/>
        <v>0</v>
      </c>
      <c r="K161" s="560"/>
      <c r="L161" s="560">
        <f t="shared" si="121"/>
        <v>50</v>
      </c>
      <c r="M161" s="560">
        <v>50</v>
      </c>
      <c r="N161" s="560">
        <f t="shared" si="122"/>
        <v>0</v>
      </c>
      <c r="O161" s="560">
        <f t="shared" si="85"/>
        <v>0</v>
      </c>
      <c r="P161" s="560"/>
      <c r="Q161" s="560">
        <f t="shared" si="86"/>
        <v>0</v>
      </c>
      <c r="R161" s="560"/>
      <c r="S161" s="584">
        <f t="shared" si="80"/>
        <v>1</v>
      </c>
      <c r="T161" s="584" t="e">
        <f t="shared" si="81"/>
        <v>#DIV/0!</v>
      </c>
      <c r="U161" s="584">
        <f t="shared" si="82"/>
        <v>1</v>
      </c>
      <c r="V161" s="560"/>
      <c r="W161" s="596"/>
    </row>
    <row r="162" spans="1:23" s="238" customFormat="1" ht="18">
      <c r="A162" s="563"/>
      <c r="B162" s="574" t="s">
        <v>559</v>
      </c>
      <c r="C162" s="560">
        <f t="shared" si="83"/>
        <v>95</v>
      </c>
      <c r="D162" s="560"/>
      <c r="E162" s="560">
        <v>95</v>
      </c>
      <c r="F162" s="560">
        <f t="shared" si="117"/>
        <v>0</v>
      </c>
      <c r="G162" s="560">
        <f t="shared" si="118"/>
        <v>0</v>
      </c>
      <c r="H162" s="560">
        <f t="shared" si="119"/>
        <v>0</v>
      </c>
      <c r="I162" s="560">
        <f t="shared" si="120"/>
        <v>0</v>
      </c>
      <c r="J162" s="560">
        <f t="shared" si="84"/>
        <v>0</v>
      </c>
      <c r="K162" s="560"/>
      <c r="L162" s="560">
        <f t="shared" si="121"/>
        <v>0</v>
      </c>
      <c r="M162" s="560"/>
      <c r="N162" s="560">
        <f t="shared" si="122"/>
        <v>0</v>
      </c>
      <c r="O162" s="560">
        <f t="shared" si="85"/>
        <v>0</v>
      </c>
      <c r="P162" s="560"/>
      <c r="Q162" s="560">
        <f t="shared" si="86"/>
        <v>0</v>
      </c>
      <c r="R162" s="560"/>
      <c r="S162" s="584">
        <f t="shared" si="80"/>
        <v>0</v>
      </c>
      <c r="T162" s="584" t="e">
        <f t="shared" si="81"/>
        <v>#DIV/0!</v>
      </c>
      <c r="U162" s="584">
        <f t="shared" si="82"/>
        <v>0</v>
      </c>
      <c r="V162" s="560"/>
      <c r="W162" s="596"/>
    </row>
    <row r="163" spans="1:23" s="238" customFormat="1" ht="18">
      <c r="A163" s="563"/>
      <c r="B163" s="574" t="s">
        <v>554</v>
      </c>
      <c r="C163" s="560">
        <f t="shared" si="83"/>
        <v>110</v>
      </c>
      <c r="D163" s="560"/>
      <c r="E163" s="560">
        <f>60+50</f>
        <v>110</v>
      </c>
      <c r="F163" s="560">
        <f t="shared" si="117"/>
        <v>88</v>
      </c>
      <c r="G163" s="560">
        <f t="shared" si="118"/>
        <v>0</v>
      </c>
      <c r="H163" s="560">
        <f t="shared" si="119"/>
        <v>88</v>
      </c>
      <c r="I163" s="560">
        <f t="shared" si="120"/>
        <v>88</v>
      </c>
      <c r="J163" s="560">
        <f t="shared" si="84"/>
        <v>0</v>
      </c>
      <c r="K163" s="560"/>
      <c r="L163" s="560">
        <f t="shared" si="121"/>
        <v>88</v>
      </c>
      <c r="M163" s="560">
        <v>88</v>
      </c>
      <c r="N163" s="560">
        <f t="shared" si="122"/>
        <v>0</v>
      </c>
      <c r="O163" s="560">
        <f t="shared" si="85"/>
        <v>0</v>
      </c>
      <c r="P163" s="560"/>
      <c r="Q163" s="560">
        <f t="shared" si="86"/>
        <v>0</v>
      </c>
      <c r="R163" s="560"/>
      <c r="S163" s="584">
        <f t="shared" si="80"/>
        <v>0.8</v>
      </c>
      <c r="T163" s="584" t="e">
        <f t="shared" si="81"/>
        <v>#DIV/0!</v>
      </c>
      <c r="U163" s="584">
        <f t="shared" si="82"/>
        <v>0.8</v>
      </c>
      <c r="V163" s="560"/>
      <c r="W163" s="596"/>
    </row>
    <row r="164" spans="1:23" s="238" customFormat="1" ht="18">
      <c r="A164" s="563"/>
      <c r="B164" s="574" t="s">
        <v>553</v>
      </c>
      <c r="C164" s="560">
        <f t="shared" si="83"/>
        <v>50</v>
      </c>
      <c r="D164" s="560"/>
      <c r="E164" s="560">
        <v>50</v>
      </c>
      <c r="F164" s="560">
        <f t="shared" si="117"/>
        <v>50</v>
      </c>
      <c r="G164" s="560">
        <f t="shared" si="118"/>
        <v>0</v>
      </c>
      <c r="H164" s="560">
        <f t="shared" si="119"/>
        <v>50</v>
      </c>
      <c r="I164" s="560">
        <f t="shared" si="120"/>
        <v>50</v>
      </c>
      <c r="J164" s="560">
        <f t="shared" si="84"/>
        <v>0</v>
      </c>
      <c r="K164" s="560"/>
      <c r="L164" s="560">
        <f t="shared" si="121"/>
        <v>50</v>
      </c>
      <c r="M164" s="560">
        <v>50</v>
      </c>
      <c r="N164" s="560">
        <f t="shared" si="122"/>
        <v>0</v>
      </c>
      <c r="O164" s="560">
        <f t="shared" si="85"/>
        <v>0</v>
      </c>
      <c r="P164" s="560"/>
      <c r="Q164" s="560">
        <f t="shared" si="86"/>
        <v>0</v>
      </c>
      <c r="R164" s="560"/>
      <c r="S164" s="584">
        <f t="shared" si="80"/>
        <v>1</v>
      </c>
      <c r="T164" s="584" t="e">
        <f t="shared" si="81"/>
        <v>#DIV/0!</v>
      </c>
      <c r="U164" s="584">
        <f t="shared" si="82"/>
        <v>1</v>
      </c>
      <c r="V164" s="560"/>
      <c r="W164" s="596"/>
    </row>
    <row r="165" spans="1:23" s="238" customFormat="1" ht="18">
      <c r="A165" s="563"/>
      <c r="B165" s="574" t="s">
        <v>581</v>
      </c>
      <c r="C165" s="560">
        <f t="shared" si="83"/>
        <v>50</v>
      </c>
      <c r="D165" s="560"/>
      <c r="E165" s="560">
        <v>50</v>
      </c>
      <c r="F165" s="560">
        <f t="shared" si="117"/>
        <v>50</v>
      </c>
      <c r="G165" s="560">
        <f t="shared" si="118"/>
        <v>0</v>
      </c>
      <c r="H165" s="560">
        <f t="shared" si="119"/>
        <v>50</v>
      </c>
      <c r="I165" s="560">
        <f t="shared" si="120"/>
        <v>50</v>
      </c>
      <c r="J165" s="560">
        <f t="shared" si="84"/>
        <v>0</v>
      </c>
      <c r="K165" s="560"/>
      <c r="L165" s="560">
        <f t="shared" si="121"/>
        <v>50</v>
      </c>
      <c r="M165" s="560">
        <v>50</v>
      </c>
      <c r="N165" s="560">
        <f t="shared" si="122"/>
        <v>0</v>
      </c>
      <c r="O165" s="560">
        <f t="shared" si="85"/>
        <v>0</v>
      </c>
      <c r="P165" s="560"/>
      <c r="Q165" s="560">
        <f t="shared" si="86"/>
        <v>0</v>
      </c>
      <c r="R165" s="560"/>
      <c r="S165" s="584">
        <f t="shared" si="80"/>
        <v>1</v>
      </c>
      <c r="T165" s="584" t="e">
        <f t="shared" si="81"/>
        <v>#DIV/0!</v>
      </c>
      <c r="U165" s="584">
        <f t="shared" si="82"/>
        <v>1</v>
      </c>
      <c r="V165" s="560"/>
      <c r="W165" s="596"/>
    </row>
    <row r="166" spans="1:23" s="238" customFormat="1" ht="18">
      <c r="A166" s="563"/>
      <c r="B166" s="574" t="s">
        <v>763</v>
      </c>
      <c r="C166" s="560">
        <f t="shared" si="83"/>
        <v>50</v>
      </c>
      <c r="D166" s="560"/>
      <c r="E166" s="560">
        <v>50</v>
      </c>
      <c r="F166" s="560">
        <f t="shared" si="117"/>
        <v>50</v>
      </c>
      <c r="G166" s="560">
        <f t="shared" si="118"/>
        <v>0</v>
      </c>
      <c r="H166" s="560">
        <f t="shared" si="119"/>
        <v>50</v>
      </c>
      <c r="I166" s="560">
        <f t="shared" si="120"/>
        <v>50</v>
      </c>
      <c r="J166" s="560">
        <f t="shared" si="84"/>
        <v>0</v>
      </c>
      <c r="K166" s="560"/>
      <c r="L166" s="560">
        <f t="shared" si="121"/>
        <v>50</v>
      </c>
      <c r="M166" s="560">
        <v>50</v>
      </c>
      <c r="N166" s="560">
        <f t="shared" si="122"/>
        <v>0</v>
      </c>
      <c r="O166" s="560">
        <f t="shared" si="85"/>
        <v>0</v>
      </c>
      <c r="P166" s="560"/>
      <c r="Q166" s="560">
        <f t="shared" si="86"/>
        <v>0</v>
      </c>
      <c r="R166" s="560"/>
      <c r="S166" s="584">
        <f t="shared" si="80"/>
        <v>1</v>
      </c>
      <c r="T166" s="584" t="e">
        <f t="shared" si="81"/>
        <v>#DIV/0!</v>
      </c>
      <c r="U166" s="584">
        <f t="shared" si="82"/>
        <v>1</v>
      </c>
      <c r="V166" s="560"/>
      <c r="W166" s="596"/>
    </row>
    <row r="167" spans="1:23" s="238" customFormat="1" ht="18">
      <c r="A167" s="563"/>
      <c r="B167" s="574" t="s">
        <v>582</v>
      </c>
      <c r="C167" s="560">
        <f t="shared" si="83"/>
        <v>50</v>
      </c>
      <c r="D167" s="560"/>
      <c r="E167" s="560">
        <v>50</v>
      </c>
      <c r="F167" s="560">
        <f t="shared" si="117"/>
        <v>50</v>
      </c>
      <c r="G167" s="560">
        <f t="shared" si="118"/>
        <v>0</v>
      </c>
      <c r="H167" s="560">
        <f t="shared" si="119"/>
        <v>50</v>
      </c>
      <c r="I167" s="560">
        <f t="shared" si="120"/>
        <v>50</v>
      </c>
      <c r="J167" s="560">
        <f t="shared" si="84"/>
        <v>0</v>
      </c>
      <c r="K167" s="560"/>
      <c r="L167" s="560">
        <f t="shared" si="121"/>
        <v>50</v>
      </c>
      <c r="M167" s="560">
        <v>50</v>
      </c>
      <c r="N167" s="560">
        <f t="shared" si="122"/>
        <v>0</v>
      </c>
      <c r="O167" s="560">
        <f t="shared" si="85"/>
        <v>0</v>
      </c>
      <c r="P167" s="560"/>
      <c r="Q167" s="560">
        <f t="shared" si="86"/>
        <v>0</v>
      </c>
      <c r="R167" s="560"/>
      <c r="S167" s="584">
        <f t="shared" si="80"/>
        <v>1</v>
      </c>
      <c r="T167" s="584" t="e">
        <f t="shared" si="81"/>
        <v>#DIV/0!</v>
      </c>
      <c r="U167" s="584">
        <f t="shared" si="82"/>
        <v>1</v>
      </c>
      <c r="V167" s="560"/>
      <c r="W167" s="596"/>
    </row>
    <row r="168" spans="1:23" s="238" customFormat="1" ht="18">
      <c r="A168" s="563"/>
      <c r="B168" s="574" t="s">
        <v>548</v>
      </c>
      <c r="C168" s="560">
        <f t="shared" si="83"/>
        <v>50</v>
      </c>
      <c r="D168" s="560"/>
      <c r="E168" s="560">
        <v>50</v>
      </c>
      <c r="F168" s="560">
        <f t="shared" si="117"/>
        <v>50</v>
      </c>
      <c r="G168" s="560">
        <f t="shared" si="118"/>
        <v>0</v>
      </c>
      <c r="H168" s="560">
        <f t="shared" si="119"/>
        <v>50</v>
      </c>
      <c r="I168" s="560">
        <f t="shared" si="120"/>
        <v>50</v>
      </c>
      <c r="J168" s="560">
        <f t="shared" si="84"/>
        <v>0</v>
      </c>
      <c r="K168" s="560"/>
      <c r="L168" s="560">
        <f t="shared" si="121"/>
        <v>50</v>
      </c>
      <c r="M168" s="560">
        <v>50</v>
      </c>
      <c r="N168" s="560">
        <f t="shared" si="122"/>
        <v>0</v>
      </c>
      <c r="O168" s="560">
        <f t="shared" si="85"/>
        <v>0</v>
      </c>
      <c r="P168" s="560"/>
      <c r="Q168" s="560">
        <f t="shared" si="86"/>
        <v>0</v>
      </c>
      <c r="R168" s="560"/>
      <c r="S168" s="584">
        <f t="shared" si="80"/>
        <v>1</v>
      </c>
      <c r="T168" s="584" t="e">
        <f t="shared" si="81"/>
        <v>#DIV/0!</v>
      </c>
      <c r="U168" s="584">
        <f t="shared" si="82"/>
        <v>1</v>
      </c>
      <c r="V168" s="560"/>
      <c r="W168" s="596"/>
    </row>
    <row r="169" spans="1:23" s="238" customFormat="1" ht="18">
      <c r="A169" s="563"/>
      <c r="B169" s="574" t="s">
        <v>777</v>
      </c>
      <c r="C169" s="560">
        <f t="shared" si="83"/>
        <v>110</v>
      </c>
      <c r="D169" s="560"/>
      <c r="E169" s="560">
        <v>110</v>
      </c>
      <c r="F169" s="560">
        <f t="shared" si="117"/>
        <v>96.148</v>
      </c>
      <c r="G169" s="560">
        <f t="shared" si="118"/>
        <v>0</v>
      </c>
      <c r="H169" s="560">
        <f t="shared" si="119"/>
        <v>96.148</v>
      </c>
      <c r="I169" s="560">
        <f t="shared" si="120"/>
        <v>96.148</v>
      </c>
      <c r="J169" s="560">
        <f t="shared" si="84"/>
        <v>0</v>
      </c>
      <c r="K169" s="560"/>
      <c r="L169" s="560">
        <f t="shared" si="121"/>
        <v>96.148</v>
      </c>
      <c r="M169" s="560">
        <v>96.148</v>
      </c>
      <c r="N169" s="560">
        <f t="shared" si="122"/>
        <v>0</v>
      </c>
      <c r="O169" s="560">
        <f t="shared" si="85"/>
        <v>0</v>
      </c>
      <c r="P169" s="560"/>
      <c r="Q169" s="560">
        <f t="shared" si="86"/>
        <v>0</v>
      </c>
      <c r="R169" s="560"/>
      <c r="S169" s="584">
        <f t="shared" si="80"/>
        <v>0.8740727272727272</v>
      </c>
      <c r="T169" s="584" t="e">
        <f t="shared" si="81"/>
        <v>#DIV/0!</v>
      </c>
      <c r="U169" s="584">
        <f t="shared" si="82"/>
        <v>0.8740727272727272</v>
      </c>
      <c r="V169" s="560"/>
      <c r="W169" s="596"/>
    </row>
    <row r="170" spans="1:23" s="238" customFormat="1" ht="18">
      <c r="A170" s="563" t="s">
        <v>251</v>
      </c>
      <c r="B170" s="574" t="s">
        <v>778</v>
      </c>
      <c r="C170" s="560">
        <f>SUM(C171:C186)</f>
        <v>2197.64</v>
      </c>
      <c r="D170" s="560">
        <f aca="true" t="shared" si="123" ref="D170:R170">SUM(D171:D186)</f>
        <v>1896</v>
      </c>
      <c r="E170" s="560">
        <f t="shared" si="123"/>
        <v>301.64</v>
      </c>
      <c r="F170" s="560">
        <f t="shared" si="123"/>
        <v>238.2507</v>
      </c>
      <c r="G170" s="560">
        <f t="shared" si="123"/>
        <v>0</v>
      </c>
      <c r="H170" s="560">
        <f t="shared" si="123"/>
        <v>238.2507</v>
      </c>
      <c r="I170" s="560">
        <f t="shared" si="123"/>
        <v>238.2507</v>
      </c>
      <c r="J170" s="560">
        <f t="shared" si="123"/>
        <v>0</v>
      </c>
      <c r="K170" s="560">
        <f t="shared" si="123"/>
        <v>0</v>
      </c>
      <c r="L170" s="560">
        <f t="shared" si="123"/>
        <v>238.2507</v>
      </c>
      <c r="M170" s="560">
        <f>SUM(M171:M186)</f>
        <v>238.2507</v>
      </c>
      <c r="N170" s="560">
        <f t="shared" si="123"/>
        <v>0</v>
      </c>
      <c r="O170" s="560">
        <f t="shared" si="123"/>
        <v>0</v>
      </c>
      <c r="P170" s="560">
        <f t="shared" si="123"/>
        <v>0</v>
      </c>
      <c r="Q170" s="560">
        <f t="shared" si="123"/>
        <v>0</v>
      </c>
      <c r="R170" s="560">
        <f t="shared" si="123"/>
        <v>0</v>
      </c>
      <c r="S170" s="584">
        <f t="shared" si="80"/>
        <v>0.10841206931071513</v>
      </c>
      <c r="T170" s="584">
        <f t="shared" si="81"/>
        <v>0</v>
      </c>
      <c r="U170" s="584">
        <f t="shared" si="82"/>
        <v>0.7898511470627237</v>
      </c>
      <c r="V170" s="560"/>
      <c r="W170" s="596"/>
    </row>
    <row r="171" spans="1:23" s="238" customFormat="1" ht="18">
      <c r="A171" s="563"/>
      <c r="B171" s="574" t="s">
        <v>556</v>
      </c>
      <c r="C171" s="560">
        <f t="shared" si="83"/>
        <v>54.64</v>
      </c>
      <c r="D171" s="560"/>
      <c r="E171" s="560">
        <v>54.64</v>
      </c>
      <c r="F171" s="560">
        <f t="shared" si="117"/>
        <v>76</v>
      </c>
      <c r="G171" s="560">
        <f t="shared" si="118"/>
        <v>0</v>
      </c>
      <c r="H171" s="560">
        <f t="shared" si="119"/>
        <v>76</v>
      </c>
      <c r="I171" s="560">
        <f t="shared" si="120"/>
        <v>76</v>
      </c>
      <c r="J171" s="560">
        <f t="shared" si="84"/>
        <v>0</v>
      </c>
      <c r="K171" s="560"/>
      <c r="L171" s="560">
        <f aca="true" t="shared" si="124" ref="L171:L186">M171</f>
        <v>76</v>
      </c>
      <c r="M171" s="560">
        <v>76</v>
      </c>
      <c r="N171" s="560">
        <f t="shared" si="122"/>
        <v>0</v>
      </c>
      <c r="O171" s="560">
        <f t="shared" si="85"/>
        <v>0</v>
      </c>
      <c r="P171" s="560"/>
      <c r="Q171" s="560">
        <f t="shared" si="86"/>
        <v>0</v>
      </c>
      <c r="R171" s="560"/>
      <c r="S171" s="584">
        <f t="shared" si="80"/>
        <v>1.390922401171303</v>
      </c>
      <c r="T171" s="584" t="e">
        <f t="shared" si="81"/>
        <v>#DIV/0!</v>
      </c>
      <c r="U171" s="584">
        <f t="shared" si="82"/>
        <v>1.390922401171303</v>
      </c>
      <c r="V171" s="560"/>
      <c r="W171" s="596"/>
    </row>
    <row r="172" spans="1:23" s="238" customFormat="1" ht="18">
      <c r="A172" s="563"/>
      <c r="B172" s="574" t="s">
        <v>555</v>
      </c>
      <c r="C172" s="560">
        <f t="shared" si="83"/>
        <v>60</v>
      </c>
      <c r="D172" s="560"/>
      <c r="E172" s="560">
        <v>60</v>
      </c>
      <c r="F172" s="560">
        <f t="shared" si="117"/>
        <v>0</v>
      </c>
      <c r="G172" s="560">
        <f t="shared" si="118"/>
        <v>0</v>
      </c>
      <c r="H172" s="560">
        <f t="shared" si="119"/>
        <v>0</v>
      </c>
      <c r="I172" s="560">
        <f t="shared" si="120"/>
        <v>0</v>
      </c>
      <c r="J172" s="560">
        <f t="shared" si="84"/>
        <v>0</v>
      </c>
      <c r="K172" s="560"/>
      <c r="L172" s="560">
        <f t="shared" si="124"/>
        <v>0</v>
      </c>
      <c r="M172" s="560"/>
      <c r="N172" s="560">
        <f t="shared" si="122"/>
        <v>0</v>
      </c>
      <c r="O172" s="560">
        <f t="shared" si="85"/>
        <v>0</v>
      </c>
      <c r="P172" s="560"/>
      <c r="Q172" s="560">
        <f t="shared" si="86"/>
        <v>0</v>
      </c>
      <c r="R172" s="560"/>
      <c r="S172" s="584">
        <f t="shared" si="80"/>
        <v>0</v>
      </c>
      <c r="T172" s="584" t="e">
        <f t="shared" si="81"/>
        <v>#DIV/0!</v>
      </c>
      <c r="U172" s="584">
        <f t="shared" si="82"/>
        <v>0</v>
      </c>
      <c r="V172" s="560"/>
      <c r="W172" s="596"/>
    </row>
    <row r="173" spans="1:23" s="238" customFormat="1" ht="18">
      <c r="A173" s="563"/>
      <c r="B173" s="574" t="s">
        <v>558</v>
      </c>
      <c r="C173" s="560">
        <f t="shared" si="83"/>
        <v>15</v>
      </c>
      <c r="D173" s="560"/>
      <c r="E173" s="560">
        <v>15</v>
      </c>
      <c r="F173" s="560">
        <f t="shared" si="117"/>
        <v>15</v>
      </c>
      <c r="G173" s="560">
        <f t="shared" si="118"/>
        <v>0</v>
      </c>
      <c r="H173" s="560">
        <f t="shared" si="119"/>
        <v>15</v>
      </c>
      <c r="I173" s="560">
        <f t="shared" si="120"/>
        <v>15</v>
      </c>
      <c r="J173" s="560">
        <f t="shared" si="84"/>
        <v>0</v>
      </c>
      <c r="K173" s="560"/>
      <c r="L173" s="560">
        <f t="shared" si="124"/>
        <v>15</v>
      </c>
      <c r="M173" s="560">
        <v>15</v>
      </c>
      <c r="N173" s="560">
        <f t="shared" si="122"/>
        <v>0</v>
      </c>
      <c r="O173" s="560">
        <f t="shared" si="85"/>
        <v>0</v>
      </c>
      <c r="P173" s="560"/>
      <c r="Q173" s="560">
        <f t="shared" si="86"/>
        <v>0</v>
      </c>
      <c r="R173" s="560"/>
      <c r="S173" s="584">
        <f t="shared" si="80"/>
        <v>1</v>
      </c>
      <c r="T173" s="584" t="e">
        <f t="shared" si="81"/>
        <v>#DIV/0!</v>
      </c>
      <c r="U173" s="584">
        <f t="shared" si="82"/>
        <v>1</v>
      </c>
      <c r="V173" s="560"/>
      <c r="W173" s="596"/>
    </row>
    <row r="174" spans="1:23" s="238" customFormat="1" ht="18">
      <c r="A174" s="563"/>
      <c r="B174" s="574" t="s">
        <v>559</v>
      </c>
      <c r="C174" s="560">
        <f t="shared" si="83"/>
        <v>54</v>
      </c>
      <c r="D174" s="560"/>
      <c r="E174" s="560">
        <v>54</v>
      </c>
      <c r="F174" s="560">
        <f t="shared" si="117"/>
        <v>0</v>
      </c>
      <c r="G174" s="560">
        <f t="shared" si="118"/>
        <v>0</v>
      </c>
      <c r="H174" s="560">
        <f t="shared" si="119"/>
        <v>0</v>
      </c>
      <c r="I174" s="560">
        <f t="shared" si="120"/>
        <v>0</v>
      </c>
      <c r="J174" s="560">
        <f t="shared" si="84"/>
        <v>0</v>
      </c>
      <c r="K174" s="560"/>
      <c r="L174" s="560">
        <f t="shared" si="124"/>
        <v>0</v>
      </c>
      <c r="M174" s="560"/>
      <c r="N174" s="560">
        <f t="shared" si="122"/>
        <v>0</v>
      </c>
      <c r="O174" s="560">
        <f t="shared" si="85"/>
        <v>0</v>
      </c>
      <c r="P174" s="560"/>
      <c r="Q174" s="560">
        <f t="shared" si="86"/>
        <v>0</v>
      </c>
      <c r="R174" s="560"/>
      <c r="S174" s="584">
        <f t="shared" si="80"/>
        <v>0</v>
      </c>
      <c r="T174" s="584" t="e">
        <f t="shared" si="81"/>
        <v>#DIV/0!</v>
      </c>
      <c r="U174" s="584">
        <f t="shared" si="82"/>
        <v>0</v>
      </c>
      <c r="V174" s="560"/>
      <c r="W174" s="596"/>
    </row>
    <row r="175" spans="1:23" s="238" customFormat="1" ht="18">
      <c r="A175" s="563"/>
      <c r="B175" s="574" t="s">
        <v>554</v>
      </c>
      <c r="C175" s="560">
        <f t="shared" si="83"/>
        <v>28</v>
      </c>
      <c r="D175" s="560"/>
      <c r="E175" s="560">
        <v>28</v>
      </c>
      <c r="F175" s="560">
        <f t="shared" si="117"/>
        <v>0</v>
      </c>
      <c r="G175" s="560">
        <f t="shared" si="118"/>
        <v>0</v>
      </c>
      <c r="H175" s="560">
        <f t="shared" si="119"/>
        <v>0</v>
      </c>
      <c r="I175" s="560">
        <f t="shared" si="120"/>
        <v>0</v>
      </c>
      <c r="J175" s="560">
        <f t="shared" si="84"/>
        <v>0</v>
      </c>
      <c r="K175" s="560"/>
      <c r="L175" s="560">
        <f t="shared" si="124"/>
        <v>0</v>
      </c>
      <c r="M175" s="560"/>
      <c r="N175" s="560">
        <f t="shared" si="122"/>
        <v>0</v>
      </c>
      <c r="O175" s="560">
        <f t="shared" si="85"/>
        <v>0</v>
      </c>
      <c r="P175" s="560"/>
      <c r="Q175" s="560">
        <f t="shared" si="86"/>
        <v>0</v>
      </c>
      <c r="R175" s="560"/>
      <c r="S175" s="584">
        <f t="shared" si="80"/>
        <v>0</v>
      </c>
      <c r="T175" s="584" t="e">
        <f t="shared" si="81"/>
        <v>#DIV/0!</v>
      </c>
      <c r="U175" s="584">
        <f t="shared" si="82"/>
        <v>0</v>
      </c>
      <c r="V175" s="560"/>
      <c r="W175" s="596"/>
    </row>
    <row r="176" spans="1:23" s="238" customFormat="1" ht="18">
      <c r="A176" s="563"/>
      <c r="B176" s="574" t="s">
        <v>553</v>
      </c>
      <c r="C176" s="560">
        <f t="shared" si="83"/>
        <v>15</v>
      </c>
      <c r="D176" s="560"/>
      <c r="E176" s="560">
        <v>15</v>
      </c>
      <c r="F176" s="560">
        <f t="shared" si="117"/>
        <v>15</v>
      </c>
      <c r="G176" s="560">
        <f t="shared" si="118"/>
        <v>0</v>
      </c>
      <c r="H176" s="560">
        <f t="shared" si="119"/>
        <v>15</v>
      </c>
      <c r="I176" s="560">
        <f t="shared" si="120"/>
        <v>15</v>
      </c>
      <c r="J176" s="560">
        <f t="shared" si="84"/>
        <v>0</v>
      </c>
      <c r="K176" s="560"/>
      <c r="L176" s="560">
        <f t="shared" si="124"/>
        <v>15</v>
      </c>
      <c r="M176" s="560">
        <v>15</v>
      </c>
      <c r="N176" s="560">
        <f t="shared" si="122"/>
        <v>0</v>
      </c>
      <c r="O176" s="560">
        <f t="shared" si="85"/>
        <v>0</v>
      </c>
      <c r="P176" s="560"/>
      <c r="Q176" s="560">
        <f t="shared" si="86"/>
        <v>0</v>
      </c>
      <c r="R176" s="560"/>
      <c r="S176" s="584">
        <f t="shared" si="80"/>
        <v>1</v>
      </c>
      <c r="T176" s="584" t="e">
        <f t="shared" si="81"/>
        <v>#DIV/0!</v>
      </c>
      <c r="U176" s="584">
        <f t="shared" si="82"/>
        <v>1</v>
      </c>
      <c r="V176" s="560"/>
      <c r="W176" s="596"/>
    </row>
    <row r="177" spans="1:23" s="238" customFormat="1" ht="18">
      <c r="A177" s="563"/>
      <c r="B177" s="574" t="s">
        <v>581</v>
      </c>
      <c r="C177" s="560">
        <f t="shared" si="83"/>
        <v>15</v>
      </c>
      <c r="D177" s="560"/>
      <c r="E177" s="560">
        <v>15</v>
      </c>
      <c r="F177" s="560">
        <f t="shared" si="117"/>
        <v>0</v>
      </c>
      <c r="G177" s="560">
        <f t="shared" si="118"/>
        <v>0</v>
      </c>
      <c r="H177" s="560">
        <f t="shared" si="119"/>
        <v>0</v>
      </c>
      <c r="I177" s="560">
        <f t="shared" si="120"/>
        <v>0</v>
      </c>
      <c r="J177" s="560">
        <f t="shared" si="84"/>
        <v>0</v>
      </c>
      <c r="K177" s="560"/>
      <c r="L177" s="560">
        <f t="shared" si="124"/>
        <v>0</v>
      </c>
      <c r="M177" s="560"/>
      <c r="N177" s="560">
        <f t="shared" si="122"/>
        <v>0</v>
      </c>
      <c r="O177" s="560">
        <f t="shared" si="85"/>
        <v>0</v>
      </c>
      <c r="P177" s="560"/>
      <c r="Q177" s="560">
        <f t="shared" si="86"/>
        <v>0</v>
      </c>
      <c r="R177" s="560"/>
      <c r="S177" s="584">
        <f t="shared" si="80"/>
        <v>0</v>
      </c>
      <c r="T177" s="584" t="e">
        <f t="shared" si="81"/>
        <v>#DIV/0!</v>
      </c>
      <c r="U177" s="584">
        <f t="shared" si="82"/>
        <v>0</v>
      </c>
      <c r="V177" s="560"/>
      <c r="W177" s="596"/>
    </row>
    <row r="178" spans="1:23" s="238" customFormat="1" ht="18">
      <c r="A178" s="563"/>
      <c r="B178" s="574" t="s">
        <v>554</v>
      </c>
      <c r="C178" s="560">
        <f t="shared" si="83"/>
        <v>15</v>
      </c>
      <c r="D178" s="560"/>
      <c r="E178" s="560">
        <v>15</v>
      </c>
      <c r="F178" s="560">
        <f t="shared" si="117"/>
        <v>0</v>
      </c>
      <c r="G178" s="560">
        <f t="shared" si="118"/>
        <v>0</v>
      </c>
      <c r="H178" s="560">
        <f t="shared" si="119"/>
        <v>0</v>
      </c>
      <c r="I178" s="560">
        <f t="shared" si="120"/>
        <v>0</v>
      </c>
      <c r="J178" s="560">
        <f t="shared" si="84"/>
        <v>0</v>
      </c>
      <c r="K178" s="560"/>
      <c r="L178" s="560">
        <f t="shared" si="124"/>
        <v>0</v>
      </c>
      <c r="M178" s="560"/>
      <c r="N178" s="560">
        <f t="shared" si="122"/>
        <v>0</v>
      </c>
      <c r="O178" s="560">
        <f t="shared" si="85"/>
        <v>0</v>
      </c>
      <c r="P178" s="560"/>
      <c r="Q178" s="560">
        <f t="shared" si="86"/>
        <v>0</v>
      </c>
      <c r="R178" s="560"/>
      <c r="S178" s="584">
        <f t="shared" si="80"/>
        <v>0</v>
      </c>
      <c r="T178" s="584" t="e">
        <f t="shared" si="81"/>
        <v>#DIV/0!</v>
      </c>
      <c r="U178" s="584">
        <f t="shared" si="82"/>
        <v>0</v>
      </c>
      <c r="V178" s="560"/>
      <c r="W178" s="596"/>
    </row>
    <row r="179" spans="1:23" s="238" customFormat="1" ht="18">
      <c r="A179" s="563"/>
      <c r="B179" s="574" t="s">
        <v>763</v>
      </c>
      <c r="C179" s="560">
        <f t="shared" si="83"/>
        <v>15</v>
      </c>
      <c r="D179" s="560"/>
      <c r="E179" s="560">
        <v>15</v>
      </c>
      <c r="F179" s="560">
        <f t="shared" si="117"/>
        <v>11.9657</v>
      </c>
      <c r="G179" s="560">
        <f t="shared" si="118"/>
        <v>0</v>
      </c>
      <c r="H179" s="560">
        <f t="shared" si="119"/>
        <v>11.9657</v>
      </c>
      <c r="I179" s="560">
        <f t="shared" si="120"/>
        <v>11.9657</v>
      </c>
      <c r="J179" s="560">
        <f t="shared" si="84"/>
        <v>0</v>
      </c>
      <c r="K179" s="560"/>
      <c r="L179" s="560">
        <f t="shared" si="124"/>
        <v>11.9657</v>
      </c>
      <c r="M179" s="560">
        <v>11.9657</v>
      </c>
      <c r="N179" s="560">
        <f t="shared" si="122"/>
        <v>0</v>
      </c>
      <c r="O179" s="560">
        <f t="shared" si="85"/>
        <v>0</v>
      </c>
      <c r="P179" s="560"/>
      <c r="Q179" s="560">
        <f t="shared" si="86"/>
        <v>0</v>
      </c>
      <c r="R179" s="560"/>
      <c r="S179" s="584">
        <f t="shared" si="80"/>
        <v>0.7977133333333334</v>
      </c>
      <c r="T179" s="584" t="e">
        <f t="shared" si="81"/>
        <v>#DIV/0!</v>
      </c>
      <c r="U179" s="584">
        <f t="shared" si="82"/>
        <v>0.7977133333333334</v>
      </c>
      <c r="V179" s="560"/>
      <c r="W179" s="596"/>
    </row>
    <row r="180" spans="1:23" s="238" customFormat="1" ht="18">
      <c r="A180" s="563"/>
      <c r="B180" s="574" t="s">
        <v>582</v>
      </c>
      <c r="C180" s="560">
        <f t="shared" si="83"/>
        <v>15</v>
      </c>
      <c r="D180" s="560"/>
      <c r="E180" s="560">
        <v>15</v>
      </c>
      <c r="F180" s="560">
        <f t="shared" si="117"/>
        <v>15</v>
      </c>
      <c r="G180" s="560">
        <f t="shared" si="118"/>
        <v>0</v>
      </c>
      <c r="H180" s="560">
        <f t="shared" si="119"/>
        <v>15</v>
      </c>
      <c r="I180" s="560">
        <f t="shared" si="120"/>
        <v>15</v>
      </c>
      <c r="J180" s="560">
        <f t="shared" si="84"/>
        <v>0</v>
      </c>
      <c r="K180" s="560"/>
      <c r="L180" s="560">
        <f t="shared" si="124"/>
        <v>15</v>
      </c>
      <c r="M180" s="560">
        <v>15</v>
      </c>
      <c r="N180" s="560">
        <f t="shared" si="122"/>
        <v>0</v>
      </c>
      <c r="O180" s="560">
        <f t="shared" si="85"/>
        <v>0</v>
      </c>
      <c r="P180" s="560"/>
      <c r="Q180" s="560">
        <f t="shared" si="86"/>
        <v>0</v>
      </c>
      <c r="R180" s="560"/>
      <c r="S180" s="584">
        <f t="shared" si="80"/>
        <v>1</v>
      </c>
      <c r="T180" s="584" t="e">
        <f t="shared" si="81"/>
        <v>#DIV/0!</v>
      </c>
      <c r="U180" s="584">
        <f t="shared" si="82"/>
        <v>1</v>
      </c>
      <c r="V180" s="560"/>
      <c r="W180" s="596"/>
    </row>
    <row r="181" spans="1:23" s="238" customFormat="1" ht="18">
      <c r="A181" s="563"/>
      <c r="B181" s="574" t="s">
        <v>548</v>
      </c>
      <c r="C181" s="560">
        <f t="shared" si="83"/>
        <v>15</v>
      </c>
      <c r="D181" s="560"/>
      <c r="E181" s="560">
        <v>15</v>
      </c>
      <c r="F181" s="560">
        <f t="shared" si="117"/>
        <v>14.285</v>
      </c>
      <c r="G181" s="560">
        <f t="shared" si="118"/>
        <v>0</v>
      </c>
      <c r="H181" s="560">
        <f t="shared" si="119"/>
        <v>14.285</v>
      </c>
      <c r="I181" s="560">
        <f t="shared" si="120"/>
        <v>14.285</v>
      </c>
      <c r="J181" s="560">
        <f t="shared" si="84"/>
        <v>0</v>
      </c>
      <c r="K181" s="560"/>
      <c r="L181" s="560">
        <f t="shared" si="124"/>
        <v>14.285</v>
      </c>
      <c r="M181" s="560">
        <v>14.285</v>
      </c>
      <c r="N181" s="560">
        <f t="shared" si="122"/>
        <v>0</v>
      </c>
      <c r="O181" s="560">
        <f t="shared" si="85"/>
        <v>0</v>
      </c>
      <c r="P181" s="560"/>
      <c r="Q181" s="560">
        <f t="shared" si="86"/>
        <v>0</v>
      </c>
      <c r="R181" s="560"/>
      <c r="S181" s="584">
        <f t="shared" si="80"/>
        <v>0.9523333333333334</v>
      </c>
      <c r="T181" s="584" t="e">
        <f t="shared" si="81"/>
        <v>#DIV/0!</v>
      </c>
      <c r="U181" s="584">
        <f t="shared" si="82"/>
        <v>0.9523333333333334</v>
      </c>
      <c r="V181" s="560"/>
      <c r="W181" s="596"/>
    </row>
    <row r="182" spans="1:23" s="238" customFormat="1" ht="18">
      <c r="A182" s="563"/>
      <c r="B182" s="574" t="s">
        <v>557</v>
      </c>
      <c r="C182" s="560">
        <f>D182+E182</f>
        <v>0</v>
      </c>
      <c r="D182" s="560"/>
      <c r="E182" s="560"/>
      <c r="F182" s="560">
        <f>G182+H182</f>
        <v>76</v>
      </c>
      <c r="G182" s="560">
        <f>J182+O182</f>
        <v>0</v>
      </c>
      <c r="H182" s="560">
        <f>L182+Q182</f>
        <v>76</v>
      </c>
      <c r="I182" s="560">
        <f>J182+L182</f>
        <v>76</v>
      </c>
      <c r="J182" s="560">
        <f>K182</f>
        <v>0</v>
      </c>
      <c r="K182" s="560"/>
      <c r="L182" s="560">
        <f t="shared" si="124"/>
        <v>76</v>
      </c>
      <c r="M182" s="560">
        <v>76</v>
      </c>
      <c r="N182" s="560">
        <f>O182+Q182</f>
        <v>0</v>
      </c>
      <c r="O182" s="560">
        <f>P182</f>
        <v>0</v>
      </c>
      <c r="P182" s="560"/>
      <c r="Q182" s="560">
        <f>R182</f>
        <v>0</v>
      </c>
      <c r="R182" s="560"/>
      <c r="S182" s="584" t="e">
        <f aca="true" t="shared" si="125" ref="S182:U183">F182/C182</f>
        <v>#DIV/0!</v>
      </c>
      <c r="T182" s="584" t="e">
        <f t="shared" si="125"/>
        <v>#DIV/0!</v>
      </c>
      <c r="U182" s="584" t="e">
        <f t="shared" si="125"/>
        <v>#DIV/0!</v>
      </c>
      <c r="V182" s="560"/>
      <c r="W182" s="596"/>
    </row>
    <row r="183" spans="1:23" s="238" customFormat="1" ht="18">
      <c r="A183" s="563"/>
      <c r="B183" s="574" t="s">
        <v>785</v>
      </c>
      <c r="C183" s="560">
        <f>D183+E183</f>
        <v>0</v>
      </c>
      <c r="D183" s="560"/>
      <c r="E183" s="560"/>
      <c r="F183" s="560">
        <f>G183+H183</f>
        <v>15</v>
      </c>
      <c r="G183" s="560">
        <f>J183+O183</f>
        <v>0</v>
      </c>
      <c r="H183" s="560">
        <f>L183+Q183</f>
        <v>15</v>
      </c>
      <c r="I183" s="560">
        <f>J183+L183</f>
        <v>15</v>
      </c>
      <c r="J183" s="560">
        <f>K183</f>
        <v>0</v>
      </c>
      <c r="K183" s="560"/>
      <c r="L183" s="560">
        <f t="shared" si="124"/>
        <v>15</v>
      </c>
      <c r="M183" s="560">
        <v>15</v>
      </c>
      <c r="N183" s="560">
        <f>O183+Q183</f>
        <v>0</v>
      </c>
      <c r="O183" s="560">
        <f>P183</f>
        <v>0</v>
      </c>
      <c r="P183" s="560"/>
      <c r="Q183" s="560">
        <f>R183</f>
        <v>0</v>
      </c>
      <c r="R183" s="560"/>
      <c r="S183" s="584" t="e">
        <f t="shared" si="125"/>
        <v>#DIV/0!</v>
      </c>
      <c r="T183" s="584" t="e">
        <f t="shared" si="125"/>
        <v>#DIV/0!</v>
      </c>
      <c r="U183" s="584" t="e">
        <f t="shared" si="125"/>
        <v>#DIV/0!</v>
      </c>
      <c r="V183" s="560"/>
      <c r="W183" s="596"/>
    </row>
    <row r="184" spans="1:23" s="238" customFormat="1" ht="18">
      <c r="A184" s="563"/>
      <c r="B184" s="574" t="s">
        <v>557</v>
      </c>
      <c r="C184" s="560">
        <f t="shared" si="83"/>
        <v>632</v>
      </c>
      <c r="D184" s="560">
        <v>632</v>
      </c>
      <c r="E184" s="560"/>
      <c r="F184" s="560">
        <f t="shared" si="117"/>
        <v>0</v>
      </c>
      <c r="G184" s="560">
        <f t="shared" si="118"/>
        <v>0</v>
      </c>
      <c r="H184" s="560">
        <f t="shared" si="119"/>
        <v>0</v>
      </c>
      <c r="I184" s="560">
        <f t="shared" si="120"/>
        <v>0</v>
      </c>
      <c r="J184" s="560">
        <f t="shared" si="84"/>
        <v>0</v>
      </c>
      <c r="K184" s="560"/>
      <c r="L184" s="560">
        <f t="shared" si="124"/>
        <v>0</v>
      </c>
      <c r="M184" s="560"/>
      <c r="N184" s="560">
        <f t="shared" si="122"/>
        <v>0</v>
      </c>
      <c r="O184" s="560">
        <f t="shared" si="85"/>
        <v>0</v>
      </c>
      <c r="P184" s="560"/>
      <c r="Q184" s="560">
        <f t="shared" si="86"/>
        <v>0</v>
      </c>
      <c r="R184" s="560"/>
      <c r="S184" s="584">
        <f t="shared" si="80"/>
        <v>0</v>
      </c>
      <c r="T184" s="584">
        <f t="shared" si="81"/>
        <v>0</v>
      </c>
      <c r="U184" s="584" t="e">
        <f t="shared" si="82"/>
        <v>#DIV/0!</v>
      </c>
      <c r="V184" s="560"/>
      <c r="W184" s="596"/>
    </row>
    <row r="185" spans="1:23" s="238" customFormat="1" ht="18">
      <c r="A185" s="563"/>
      <c r="B185" s="574" t="s">
        <v>763</v>
      </c>
      <c r="C185" s="560">
        <f t="shared" si="83"/>
        <v>632</v>
      </c>
      <c r="D185" s="560">
        <v>632</v>
      </c>
      <c r="E185" s="560"/>
      <c r="F185" s="560">
        <f t="shared" si="117"/>
        <v>0</v>
      </c>
      <c r="G185" s="560">
        <f t="shared" si="118"/>
        <v>0</v>
      </c>
      <c r="H185" s="560">
        <f t="shared" si="119"/>
        <v>0</v>
      </c>
      <c r="I185" s="560">
        <f t="shared" si="120"/>
        <v>0</v>
      </c>
      <c r="J185" s="560">
        <f t="shared" si="84"/>
        <v>0</v>
      </c>
      <c r="K185" s="560"/>
      <c r="L185" s="560">
        <f t="shared" si="124"/>
        <v>0</v>
      </c>
      <c r="M185" s="560"/>
      <c r="N185" s="560">
        <f t="shared" si="122"/>
        <v>0</v>
      </c>
      <c r="O185" s="560">
        <f t="shared" si="85"/>
        <v>0</v>
      </c>
      <c r="P185" s="560"/>
      <c r="Q185" s="560">
        <f t="shared" si="86"/>
        <v>0</v>
      </c>
      <c r="R185" s="560"/>
      <c r="S185" s="584">
        <f t="shared" si="80"/>
        <v>0</v>
      </c>
      <c r="T185" s="584">
        <f t="shared" si="81"/>
        <v>0</v>
      </c>
      <c r="U185" s="584" t="e">
        <f t="shared" si="82"/>
        <v>#DIV/0!</v>
      </c>
      <c r="V185" s="560"/>
      <c r="W185" s="596"/>
    </row>
    <row r="186" spans="1:23" s="238" customFormat="1" ht="18">
      <c r="A186" s="563"/>
      <c r="B186" s="574" t="s">
        <v>552</v>
      </c>
      <c r="C186" s="560">
        <f t="shared" si="83"/>
        <v>632</v>
      </c>
      <c r="D186" s="560">
        <v>632</v>
      </c>
      <c r="E186" s="560"/>
      <c r="F186" s="560">
        <f t="shared" si="117"/>
        <v>0</v>
      </c>
      <c r="G186" s="560">
        <f t="shared" si="118"/>
        <v>0</v>
      </c>
      <c r="H186" s="560">
        <f t="shared" si="119"/>
        <v>0</v>
      </c>
      <c r="I186" s="560">
        <f t="shared" si="120"/>
        <v>0</v>
      </c>
      <c r="J186" s="560">
        <f t="shared" si="84"/>
        <v>0</v>
      </c>
      <c r="K186" s="560"/>
      <c r="L186" s="560">
        <f t="shared" si="124"/>
        <v>0</v>
      </c>
      <c r="M186" s="560"/>
      <c r="N186" s="560">
        <f t="shared" si="122"/>
        <v>0</v>
      </c>
      <c r="O186" s="560">
        <f t="shared" si="85"/>
        <v>0</v>
      </c>
      <c r="P186" s="560"/>
      <c r="Q186" s="560">
        <f t="shared" si="86"/>
        <v>0</v>
      </c>
      <c r="R186" s="560"/>
      <c r="S186" s="584">
        <f t="shared" si="80"/>
        <v>0</v>
      </c>
      <c r="T186" s="584">
        <f t="shared" si="81"/>
        <v>0</v>
      </c>
      <c r="U186" s="584" t="e">
        <f t="shared" si="82"/>
        <v>#DIV/0!</v>
      </c>
      <c r="V186" s="560"/>
      <c r="W186" s="596"/>
    </row>
    <row r="187" spans="1:23" s="238" customFormat="1" ht="87">
      <c r="A187" s="556">
        <v>2</v>
      </c>
      <c r="B187" s="565" t="s">
        <v>570</v>
      </c>
      <c r="C187" s="553">
        <f>C188+C197+C199</f>
        <v>24003.34315</v>
      </c>
      <c r="D187" s="553">
        <f aca="true" t="shared" si="126" ref="D187:R187">D188+D197+D199</f>
        <v>0</v>
      </c>
      <c r="E187" s="553">
        <f t="shared" si="126"/>
        <v>24003.34315</v>
      </c>
      <c r="F187" s="553">
        <f t="shared" si="126"/>
        <v>9014.039026999999</v>
      </c>
      <c r="G187" s="553">
        <f t="shared" si="126"/>
        <v>0</v>
      </c>
      <c r="H187" s="553">
        <f t="shared" si="126"/>
        <v>9014.039026999999</v>
      </c>
      <c r="I187" s="553">
        <f t="shared" si="126"/>
        <v>9014.039026999999</v>
      </c>
      <c r="J187" s="553">
        <f t="shared" si="126"/>
        <v>0</v>
      </c>
      <c r="K187" s="553">
        <f t="shared" si="126"/>
        <v>0</v>
      </c>
      <c r="L187" s="553">
        <f t="shared" si="126"/>
        <v>9014.039026999999</v>
      </c>
      <c r="M187" s="553">
        <f t="shared" si="126"/>
        <v>9014.039026999999</v>
      </c>
      <c r="N187" s="553">
        <f t="shared" si="126"/>
        <v>0</v>
      </c>
      <c r="O187" s="553">
        <f t="shared" si="126"/>
        <v>0</v>
      </c>
      <c r="P187" s="553">
        <f t="shared" si="126"/>
        <v>0</v>
      </c>
      <c r="Q187" s="553">
        <f t="shared" si="126"/>
        <v>0</v>
      </c>
      <c r="R187" s="553">
        <f t="shared" si="126"/>
        <v>0</v>
      </c>
      <c r="S187" s="584">
        <f t="shared" si="80"/>
        <v>0.375532648542751</v>
      </c>
      <c r="T187" s="584" t="e">
        <f t="shared" si="81"/>
        <v>#DIV/0!</v>
      </c>
      <c r="U187" s="584">
        <f t="shared" si="82"/>
        <v>0.375532648542751</v>
      </c>
      <c r="V187" s="553"/>
      <c r="W187" s="596"/>
    </row>
    <row r="188" spans="1:23" s="238" customFormat="1" ht="72">
      <c r="A188" s="563" t="s">
        <v>252</v>
      </c>
      <c r="B188" s="574" t="s">
        <v>569</v>
      </c>
      <c r="C188" s="560">
        <f>SUM(C189:C196)</f>
        <v>15603.4</v>
      </c>
      <c r="D188" s="560">
        <f aca="true" t="shared" si="127" ref="D188:R188">SUM(D189:D196)</f>
        <v>0</v>
      </c>
      <c r="E188" s="560">
        <f t="shared" si="127"/>
        <v>15603.4</v>
      </c>
      <c r="F188" s="560">
        <f t="shared" si="127"/>
        <v>6376.078427</v>
      </c>
      <c r="G188" s="560">
        <f t="shared" si="127"/>
        <v>0</v>
      </c>
      <c r="H188" s="560">
        <f t="shared" si="127"/>
        <v>6376.078427</v>
      </c>
      <c r="I188" s="560">
        <f t="shared" si="127"/>
        <v>6376.078427</v>
      </c>
      <c r="J188" s="560">
        <f t="shared" si="127"/>
        <v>0</v>
      </c>
      <c r="K188" s="560">
        <f t="shared" si="127"/>
        <v>0</v>
      </c>
      <c r="L188" s="560">
        <f t="shared" si="127"/>
        <v>6376.078427</v>
      </c>
      <c r="M188" s="560">
        <f t="shared" si="127"/>
        <v>6376.078427</v>
      </c>
      <c r="N188" s="560">
        <f t="shared" si="127"/>
        <v>0</v>
      </c>
      <c r="O188" s="560">
        <f t="shared" si="127"/>
        <v>0</v>
      </c>
      <c r="P188" s="560">
        <f t="shared" si="127"/>
        <v>0</v>
      </c>
      <c r="Q188" s="560">
        <f t="shared" si="127"/>
        <v>0</v>
      </c>
      <c r="R188" s="560">
        <f t="shared" si="127"/>
        <v>0</v>
      </c>
      <c r="S188" s="584">
        <f t="shared" si="80"/>
        <v>0.40863391485189127</v>
      </c>
      <c r="T188" s="584" t="e">
        <f t="shared" si="81"/>
        <v>#DIV/0!</v>
      </c>
      <c r="U188" s="584">
        <f t="shared" si="82"/>
        <v>0.40863391485189127</v>
      </c>
      <c r="V188" s="560"/>
      <c r="W188" s="596"/>
    </row>
    <row r="189" spans="1:23" s="238" customFormat="1" ht="18">
      <c r="A189" s="563"/>
      <c r="B189" s="574" t="s">
        <v>557</v>
      </c>
      <c r="C189" s="560">
        <f t="shared" si="83"/>
        <v>3833.8500000000004</v>
      </c>
      <c r="D189" s="560"/>
      <c r="E189" s="560">
        <f>126.46+1777.39+126+1121+683</f>
        <v>3833.8500000000004</v>
      </c>
      <c r="F189" s="560">
        <f t="shared" si="117"/>
        <v>952.618</v>
      </c>
      <c r="G189" s="560">
        <f t="shared" si="118"/>
        <v>0</v>
      </c>
      <c r="H189" s="560">
        <f t="shared" si="119"/>
        <v>952.618</v>
      </c>
      <c r="I189" s="560">
        <f t="shared" si="120"/>
        <v>952.618</v>
      </c>
      <c r="J189" s="560">
        <f t="shared" si="84"/>
        <v>0</v>
      </c>
      <c r="K189" s="560"/>
      <c r="L189" s="560">
        <f>M189</f>
        <v>952.618</v>
      </c>
      <c r="M189" s="560">
        <v>952.618</v>
      </c>
      <c r="N189" s="560">
        <f t="shared" si="122"/>
        <v>0</v>
      </c>
      <c r="O189" s="560">
        <f t="shared" si="85"/>
        <v>0</v>
      </c>
      <c r="P189" s="560"/>
      <c r="Q189" s="560">
        <f t="shared" si="86"/>
        <v>0</v>
      </c>
      <c r="R189" s="560"/>
      <c r="S189" s="584">
        <f t="shared" si="80"/>
        <v>0.24847555329499066</v>
      </c>
      <c r="T189" s="584" t="e">
        <f t="shared" si="81"/>
        <v>#DIV/0!</v>
      </c>
      <c r="U189" s="584">
        <f t="shared" si="82"/>
        <v>0.24847555329499066</v>
      </c>
      <c r="V189" s="560"/>
      <c r="W189" s="597"/>
    </row>
    <row r="190" spans="1:23" s="238" customFormat="1" ht="18">
      <c r="A190" s="563"/>
      <c r="B190" s="574" t="s">
        <v>556</v>
      </c>
      <c r="C190" s="560">
        <f t="shared" si="83"/>
        <v>2732.9700000000003</v>
      </c>
      <c r="D190" s="560"/>
      <c r="E190" s="560">
        <f>256.48+105.49+94+1543+734</f>
        <v>2732.9700000000003</v>
      </c>
      <c r="F190" s="560">
        <f t="shared" si="117"/>
        <v>1175.9920000000002</v>
      </c>
      <c r="G190" s="560">
        <f t="shared" si="118"/>
        <v>0</v>
      </c>
      <c r="H190" s="560">
        <f t="shared" si="119"/>
        <v>1175.9920000000002</v>
      </c>
      <c r="I190" s="560">
        <f t="shared" si="120"/>
        <v>1175.9920000000002</v>
      </c>
      <c r="J190" s="560">
        <f t="shared" si="84"/>
        <v>0</v>
      </c>
      <c r="K190" s="560"/>
      <c r="L190" s="560">
        <f aca="true" t="shared" si="128" ref="L190:L196">M190</f>
        <v>1175.9920000000002</v>
      </c>
      <c r="M190" s="560">
        <f>256.48+105.49+94+720.022</f>
        <v>1175.9920000000002</v>
      </c>
      <c r="N190" s="560">
        <f t="shared" si="122"/>
        <v>0</v>
      </c>
      <c r="O190" s="560">
        <f t="shared" si="85"/>
        <v>0</v>
      </c>
      <c r="P190" s="560"/>
      <c r="Q190" s="560">
        <f t="shared" si="86"/>
        <v>0</v>
      </c>
      <c r="R190" s="560"/>
      <c r="S190" s="584">
        <f t="shared" si="80"/>
        <v>0.4302981737816369</v>
      </c>
      <c r="T190" s="584" t="e">
        <f t="shared" si="81"/>
        <v>#DIV/0!</v>
      </c>
      <c r="U190" s="584">
        <f t="shared" si="82"/>
        <v>0.4302981737816369</v>
      </c>
      <c r="V190" s="560"/>
      <c r="W190" s="597"/>
    </row>
    <row r="191" spans="1:23" s="238" customFormat="1" ht="18">
      <c r="A191" s="563"/>
      <c r="B191" s="574" t="s">
        <v>555</v>
      </c>
      <c r="C191" s="560">
        <f t="shared" si="83"/>
        <v>183.47</v>
      </c>
      <c r="D191" s="560"/>
      <c r="E191" s="560">
        <v>183.47</v>
      </c>
      <c r="F191" s="560">
        <f t="shared" si="117"/>
        <v>905.832</v>
      </c>
      <c r="G191" s="560">
        <f t="shared" si="118"/>
        <v>0</v>
      </c>
      <c r="H191" s="560">
        <f t="shared" si="119"/>
        <v>905.832</v>
      </c>
      <c r="I191" s="560">
        <f t="shared" si="120"/>
        <v>905.832</v>
      </c>
      <c r="J191" s="560">
        <f t="shared" si="84"/>
        <v>0</v>
      </c>
      <c r="K191" s="560"/>
      <c r="L191" s="560">
        <f t="shared" si="128"/>
        <v>905.832</v>
      </c>
      <c r="M191" s="560">
        <v>905.832</v>
      </c>
      <c r="N191" s="560">
        <f t="shared" si="122"/>
        <v>0</v>
      </c>
      <c r="O191" s="560">
        <f t="shared" si="85"/>
        <v>0</v>
      </c>
      <c r="P191" s="560"/>
      <c r="Q191" s="560">
        <f t="shared" si="86"/>
        <v>0</v>
      </c>
      <c r="R191" s="560"/>
      <c r="S191" s="584">
        <f t="shared" si="80"/>
        <v>4.937221344088952</v>
      </c>
      <c r="T191" s="584" t="e">
        <f t="shared" si="81"/>
        <v>#DIV/0!</v>
      </c>
      <c r="U191" s="584">
        <f t="shared" si="82"/>
        <v>4.937221344088952</v>
      </c>
      <c r="V191" s="560"/>
      <c r="W191" s="597"/>
    </row>
    <row r="192" spans="1:23" s="238" customFormat="1" ht="18">
      <c r="A192" s="563"/>
      <c r="B192" s="574" t="s">
        <v>558</v>
      </c>
      <c r="C192" s="560">
        <f t="shared" si="83"/>
        <v>5357.18</v>
      </c>
      <c r="D192" s="560"/>
      <c r="E192" s="560">
        <f>97.11+1275.07+146+2662+1177</f>
        <v>5357.18</v>
      </c>
      <c r="F192" s="560">
        <f t="shared" si="117"/>
        <v>1175.0958</v>
      </c>
      <c r="G192" s="560">
        <f t="shared" si="118"/>
        <v>0</v>
      </c>
      <c r="H192" s="560">
        <f t="shared" si="119"/>
        <v>1175.0958</v>
      </c>
      <c r="I192" s="560">
        <f t="shared" si="120"/>
        <v>1175.0958</v>
      </c>
      <c r="J192" s="560">
        <f t="shared" si="84"/>
        <v>0</v>
      </c>
      <c r="K192" s="560"/>
      <c r="L192" s="560">
        <f t="shared" si="128"/>
        <v>1175.0958</v>
      </c>
      <c r="M192" s="560">
        <v>1175.0958</v>
      </c>
      <c r="N192" s="560">
        <f t="shared" si="122"/>
        <v>0</v>
      </c>
      <c r="O192" s="560">
        <f t="shared" si="85"/>
        <v>0</v>
      </c>
      <c r="P192" s="560"/>
      <c r="Q192" s="560">
        <f t="shared" si="86"/>
        <v>0</v>
      </c>
      <c r="R192" s="560"/>
      <c r="S192" s="584">
        <f t="shared" si="80"/>
        <v>0.21934969517544678</v>
      </c>
      <c r="T192" s="584" t="e">
        <f t="shared" si="81"/>
        <v>#DIV/0!</v>
      </c>
      <c r="U192" s="584">
        <f t="shared" si="82"/>
        <v>0.21934969517544678</v>
      </c>
      <c r="V192" s="560"/>
      <c r="W192" s="597"/>
    </row>
    <row r="193" spans="1:23" s="238" customFormat="1" ht="18">
      <c r="A193" s="563"/>
      <c r="B193" s="574" t="s">
        <v>559</v>
      </c>
      <c r="C193" s="560">
        <f t="shared" si="83"/>
        <v>2335.89</v>
      </c>
      <c r="D193" s="560"/>
      <c r="E193" s="560">
        <f>99.71+633.53+50+927.65+625</f>
        <v>2335.89</v>
      </c>
      <c r="F193" s="560">
        <f t="shared" si="117"/>
        <v>766.901627</v>
      </c>
      <c r="G193" s="560">
        <f t="shared" si="118"/>
        <v>0</v>
      </c>
      <c r="H193" s="560">
        <f t="shared" si="119"/>
        <v>766.901627</v>
      </c>
      <c r="I193" s="560">
        <f t="shared" si="120"/>
        <v>766.901627</v>
      </c>
      <c r="J193" s="560">
        <f t="shared" si="84"/>
        <v>0</v>
      </c>
      <c r="K193" s="560"/>
      <c r="L193" s="560">
        <f t="shared" si="128"/>
        <v>766.901627</v>
      </c>
      <c r="M193" s="560">
        <v>766.901627</v>
      </c>
      <c r="N193" s="560">
        <f t="shared" si="122"/>
        <v>0</v>
      </c>
      <c r="O193" s="560">
        <f t="shared" si="85"/>
        <v>0</v>
      </c>
      <c r="P193" s="560"/>
      <c r="Q193" s="560">
        <f t="shared" si="86"/>
        <v>0</v>
      </c>
      <c r="R193" s="560"/>
      <c r="S193" s="584">
        <f t="shared" si="80"/>
        <v>0.32831238928202955</v>
      </c>
      <c r="T193" s="584" t="e">
        <f t="shared" si="81"/>
        <v>#DIV/0!</v>
      </c>
      <c r="U193" s="584">
        <f t="shared" si="82"/>
        <v>0.32831238928202955</v>
      </c>
      <c r="V193" s="560"/>
      <c r="W193" s="598"/>
    </row>
    <row r="194" spans="1:23" s="238" customFormat="1" ht="18">
      <c r="A194" s="563"/>
      <c r="B194" s="574" t="s">
        <v>554</v>
      </c>
      <c r="C194" s="560">
        <f t="shared" si="83"/>
        <v>666.13</v>
      </c>
      <c r="D194" s="560"/>
      <c r="E194" s="560">
        <f>2.06+664.07</f>
        <v>666.13</v>
      </c>
      <c r="F194" s="560">
        <f t="shared" si="117"/>
        <v>666.13</v>
      </c>
      <c r="G194" s="560">
        <f t="shared" si="118"/>
        <v>0</v>
      </c>
      <c r="H194" s="560">
        <f t="shared" si="119"/>
        <v>666.13</v>
      </c>
      <c r="I194" s="560">
        <f t="shared" si="120"/>
        <v>666.13</v>
      </c>
      <c r="J194" s="560">
        <f t="shared" si="84"/>
        <v>0</v>
      </c>
      <c r="K194" s="560"/>
      <c r="L194" s="560">
        <f t="shared" si="128"/>
        <v>666.13</v>
      </c>
      <c r="M194" s="560">
        <f>2.06+664.07</f>
        <v>666.13</v>
      </c>
      <c r="N194" s="560">
        <f t="shared" si="122"/>
        <v>0</v>
      </c>
      <c r="O194" s="560">
        <f t="shared" si="85"/>
        <v>0</v>
      </c>
      <c r="P194" s="560"/>
      <c r="Q194" s="560">
        <f t="shared" si="86"/>
        <v>0</v>
      </c>
      <c r="R194" s="560"/>
      <c r="S194" s="584">
        <f t="shared" si="80"/>
        <v>1</v>
      </c>
      <c r="T194" s="584" t="e">
        <f t="shared" si="81"/>
        <v>#DIV/0!</v>
      </c>
      <c r="U194" s="584">
        <f t="shared" si="82"/>
        <v>1</v>
      </c>
      <c r="V194" s="560"/>
      <c r="W194" s="597"/>
    </row>
    <row r="195" spans="1:23" s="238" customFormat="1" ht="18">
      <c r="A195" s="563"/>
      <c r="B195" s="574" t="s">
        <v>553</v>
      </c>
      <c r="C195" s="560">
        <f t="shared" si="83"/>
        <v>493.90999999999997</v>
      </c>
      <c r="D195" s="560"/>
      <c r="E195" s="560">
        <f>54.15+247.76+192</f>
        <v>493.90999999999997</v>
      </c>
      <c r="F195" s="560">
        <f t="shared" si="117"/>
        <v>493.90999999999997</v>
      </c>
      <c r="G195" s="560">
        <f t="shared" si="118"/>
        <v>0</v>
      </c>
      <c r="H195" s="560">
        <f t="shared" si="119"/>
        <v>493.90999999999997</v>
      </c>
      <c r="I195" s="560">
        <f t="shared" si="120"/>
        <v>493.90999999999997</v>
      </c>
      <c r="J195" s="560">
        <f t="shared" si="84"/>
        <v>0</v>
      </c>
      <c r="K195" s="560"/>
      <c r="L195" s="560">
        <f t="shared" si="128"/>
        <v>493.90999999999997</v>
      </c>
      <c r="M195" s="560">
        <f>54.15+247.76+192</f>
        <v>493.90999999999997</v>
      </c>
      <c r="N195" s="560">
        <f t="shared" si="122"/>
        <v>0</v>
      </c>
      <c r="O195" s="560">
        <f t="shared" si="85"/>
        <v>0</v>
      </c>
      <c r="P195" s="560"/>
      <c r="Q195" s="560">
        <f t="shared" si="86"/>
        <v>0</v>
      </c>
      <c r="R195" s="560"/>
      <c r="S195" s="584">
        <f t="shared" si="80"/>
        <v>1</v>
      </c>
      <c r="T195" s="584" t="e">
        <f t="shared" si="81"/>
        <v>#DIV/0!</v>
      </c>
      <c r="U195" s="584">
        <f t="shared" si="82"/>
        <v>1</v>
      </c>
      <c r="V195" s="560"/>
      <c r="W195" s="597"/>
    </row>
    <row r="196" spans="1:23" s="238" customFormat="1" ht="18">
      <c r="A196" s="563"/>
      <c r="B196" s="574" t="s">
        <v>582</v>
      </c>
      <c r="C196" s="560">
        <f t="shared" si="83"/>
        <v>0</v>
      </c>
      <c r="D196" s="560"/>
      <c r="E196" s="560"/>
      <c r="F196" s="560">
        <f t="shared" si="117"/>
        <v>239.599</v>
      </c>
      <c r="G196" s="560">
        <f>J196+O196</f>
        <v>0</v>
      </c>
      <c r="H196" s="560">
        <f>L196+Q196</f>
        <v>239.599</v>
      </c>
      <c r="I196" s="560">
        <f>J196+L196</f>
        <v>239.599</v>
      </c>
      <c r="J196" s="560">
        <f>K196</f>
        <v>0</v>
      </c>
      <c r="K196" s="560"/>
      <c r="L196" s="560">
        <f t="shared" si="128"/>
        <v>239.599</v>
      </c>
      <c r="M196" s="560">
        <v>239.599</v>
      </c>
      <c r="N196" s="560">
        <f>O196+Q196</f>
        <v>0</v>
      </c>
      <c r="O196" s="560">
        <f>P196</f>
        <v>0</v>
      </c>
      <c r="P196" s="560"/>
      <c r="Q196" s="560">
        <f>R196</f>
        <v>0</v>
      </c>
      <c r="R196" s="560"/>
      <c r="S196" s="584" t="e">
        <f>F196/C196</f>
        <v>#DIV/0!</v>
      </c>
      <c r="T196" s="584" t="e">
        <f>G196/D196</f>
        <v>#DIV/0!</v>
      </c>
      <c r="U196" s="584" t="e">
        <f>H196/E196</f>
        <v>#DIV/0!</v>
      </c>
      <c r="V196" s="560"/>
      <c r="W196" s="597"/>
    </row>
    <row r="197" spans="1:23" s="238" customFormat="1" ht="72">
      <c r="A197" s="563" t="s">
        <v>37</v>
      </c>
      <c r="B197" s="574" t="s">
        <v>764</v>
      </c>
      <c r="C197" s="560">
        <f>C198</f>
        <v>2444.939</v>
      </c>
      <c r="D197" s="560">
        <f aca="true" t="shared" si="129" ref="D197:R197">D198</f>
        <v>0</v>
      </c>
      <c r="E197" s="560">
        <f t="shared" si="129"/>
        <v>2444.939</v>
      </c>
      <c r="F197" s="560">
        <f t="shared" si="129"/>
        <v>0</v>
      </c>
      <c r="G197" s="560">
        <f t="shared" si="129"/>
        <v>0</v>
      </c>
      <c r="H197" s="560">
        <f t="shared" si="129"/>
        <v>0</v>
      </c>
      <c r="I197" s="560">
        <f t="shared" si="129"/>
        <v>0</v>
      </c>
      <c r="J197" s="560">
        <f t="shared" si="129"/>
        <v>0</v>
      </c>
      <c r="K197" s="560">
        <f t="shared" si="129"/>
        <v>0</v>
      </c>
      <c r="L197" s="560">
        <f t="shared" si="129"/>
        <v>0</v>
      </c>
      <c r="M197" s="560">
        <f t="shared" si="129"/>
        <v>0</v>
      </c>
      <c r="N197" s="560">
        <f t="shared" si="129"/>
        <v>0</v>
      </c>
      <c r="O197" s="560">
        <f t="shared" si="129"/>
        <v>0</v>
      </c>
      <c r="P197" s="560">
        <f t="shared" si="129"/>
        <v>0</v>
      </c>
      <c r="Q197" s="560">
        <f t="shared" si="129"/>
        <v>0</v>
      </c>
      <c r="R197" s="560">
        <f t="shared" si="129"/>
        <v>0</v>
      </c>
      <c r="S197" s="584">
        <f aca="true" t="shared" si="130" ref="S197:S235">F197/C197</f>
        <v>0</v>
      </c>
      <c r="T197" s="584" t="e">
        <f aca="true" t="shared" si="131" ref="T197:T235">G197/D197</f>
        <v>#DIV/0!</v>
      </c>
      <c r="U197" s="584">
        <f aca="true" t="shared" si="132" ref="U197:U235">H197/E197</f>
        <v>0</v>
      </c>
      <c r="V197" s="560"/>
      <c r="W197" s="597"/>
    </row>
    <row r="198" spans="1:23" s="238" customFormat="1" ht="18">
      <c r="A198" s="563"/>
      <c r="B198" s="575" t="s">
        <v>636</v>
      </c>
      <c r="C198" s="560">
        <f aca="true" t="shared" si="133" ref="C198:C235">D198+E198</f>
        <v>2444.939</v>
      </c>
      <c r="D198" s="560"/>
      <c r="E198" s="560">
        <f>2444.609+0.33</f>
        <v>2444.939</v>
      </c>
      <c r="F198" s="560">
        <f aca="true" t="shared" si="134" ref="F198:F235">G198+H198</f>
        <v>0</v>
      </c>
      <c r="G198" s="560">
        <f aca="true" t="shared" si="135" ref="G198:G235">J198+O198</f>
        <v>0</v>
      </c>
      <c r="H198" s="560">
        <f aca="true" t="shared" si="136" ref="H198:H235">L198+Q198</f>
        <v>0</v>
      </c>
      <c r="I198" s="560">
        <f aca="true" t="shared" si="137" ref="I198:I235">J198+L198</f>
        <v>0</v>
      </c>
      <c r="J198" s="560">
        <f aca="true" t="shared" si="138" ref="J198:J235">K198</f>
        <v>0</v>
      </c>
      <c r="K198" s="560"/>
      <c r="L198" s="560">
        <f aca="true" t="shared" si="139" ref="L198:L235">M198</f>
        <v>0</v>
      </c>
      <c r="M198" s="560"/>
      <c r="N198" s="560">
        <f aca="true" t="shared" si="140" ref="N198:N235">O198+Q198</f>
        <v>0</v>
      </c>
      <c r="O198" s="560">
        <f aca="true" t="shared" si="141" ref="O198:O235">P198</f>
        <v>0</v>
      </c>
      <c r="P198" s="560"/>
      <c r="Q198" s="560">
        <f aca="true" t="shared" si="142" ref="Q198:Q235">R198</f>
        <v>0</v>
      </c>
      <c r="R198" s="560"/>
      <c r="S198" s="584">
        <f t="shared" si="130"/>
        <v>0</v>
      </c>
      <c r="T198" s="584" t="e">
        <f t="shared" si="131"/>
        <v>#DIV/0!</v>
      </c>
      <c r="U198" s="584">
        <f t="shared" si="132"/>
        <v>0</v>
      </c>
      <c r="V198" s="560"/>
      <c r="W198" s="597"/>
    </row>
    <row r="199" spans="1:23" s="238" customFormat="1" ht="90">
      <c r="A199" s="563" t="s">
        <v>253</v>
      </c>
      <c r="B199" s="574" t="s">
        <v>571</v>
      </c>
      <c r="C199" s="560">
        <f>C200</f>
        <v>5955.004150000001</v>
      </c>
      <c r="D199" s="560">
        <f aca="true" t="shared" si="143" ref="D199:R199">D200</f>
        <v>0</v>
      </c>
      <c r="E199" s="560">
        <f t="shared" si="143"/>
        <v>5955.004150000001</v>
      </c>
      <c r="F199" s="560">
        <f t="shared" si="143"/>
        <v>2637.9605999999994</v>
      </c>
      <c r="G199" s="560">
        <f t="shared" si="143"/>
        <v>0</v>
      </c>
      <c r="H199" s="560">
        <f t="shared" si="143"/>
        <v>2637.9605999999994</v>
      </c>
      <c r="I199" s="560">
        <f t="shared" si="143"/>
        <v>2637.9605999999994</v>
      </c>
      <c r="J199" s="560">
        <f t="shared" si="143"/>
        <v>0</v>
      </c>
      <c r="K199" s="560">
        <f t="shared" si="143"/>
        <v>0</v>
      </c>
      <c r="L199" s="560">
        <f t="shared" si="143"/>
        <v>2637.9605999999994</v>
      </c>
      <c r="M199" s="560">
        <f>M200</f>
        <v>2637.9605999999994</v>
      </c>
      <c r="N199" s="560">
        <f t="shared" si="143"/>
        <v>0</v>
      </c>
      <c r="O199" s="560">
        <f t="shared" si="143"/>
        <v>0</v>
      </c>
      <c r="P199" s="560">
        <f t="shared" si="143"/>
        <v>0</v>
      </c>
      <c r="Q199" s="560">
        <f t="shared" si="143"/>
        <v>0</v>
      </c>
      <c r="R199" s="560">
        <f t="shared" si="143"/>
        <v>0</v>
      </c>
      <c r="S199" s="584">
        <f t="shared" si="130"/>
        <v>0.4429821598025249</v>
      </c>
      <c r="T199" s="584" t="e">
        <f t="shared" si="131"/>
        <v>#DIV/0!</v>
      </c>
      <c r="U199" s="584">
        <f t="shared" si="132"/>
        <v>0.4429821598025249</v>
      </c>
      <c r="V199" s="560"/>
      <c r="W199" s="597"/>
    </row>
    <row r="200" spans="1:23" s="238" customFormat="1" ht="18">
      <c r="A200" s="563" t="s">
        <v>37</v>
      </c>
      <c r="B200" s="574" t="s">
        <v>765</v>
      </c>
      <c r="C200" s="560">
        <f>SUM(C201:C212)</f>
        <v>5955.004150000001</v>
      </c>
      <c r="D200" s="560">
        <f aca="true" t="shared" si="144" ref="D200:R200">SUM(D201:D212)</f>
        <v>0</v>
      </c>
      <c r="E200" s="560">
        <f t="shared" si="144"/>
        <v>5955.004150000001</v>
      </c>
      <c r="F200" s="560">
        <f t="shared" si="144"/>
        <v>2637.9605999999994</v>
      </c>
      <c r="G200" s="560">
        <f t="shared" si="144"/>
        <v>0</v>
      </c>
      <c r="H200" s="560">
        <f t="shared" si="144"/>
        <v>2637.9605999999994</v>
      </c>
      <c r="I200" s="560">
        <f t="shared" si="144"/>
        <v>2637.9605999999994</v>
      </c>
      <c r="J200" s="560">
        <f t="shared" si="144"/>
        <v>0</v>
      </c>
      <c r="K200" s="560">
        <f t="shared" si="144"/>
        <v>0</v>
      </c>
      <c r="L200" s="560">
        <f t="shared" si="144"/>
        <v>2637.9605999999994</v>
      </c>
      <c r="M200" s="560">
        <f>SUM(M201:M212)</f>
        <v>2637.9605999999994</v>
      </c>
      <c r="N200" s="560">
        <f t="shared" si="144"/>
        <v>0</v>
      </c>
      <c r="O200" s="560">
        <f t="shared" si="144"/>
        <v>0</v>
      </c>
      <c r="P200" s="560">
        <f t="shared" si="144"/>
        <v>0</v>
      </c>
      <c r="Q200" s="560">
        <f t="shared" si="144"/>
        <v>0</v>
      </c>
      <c r="R200" s="560">
        <f t="shared" si="144"/>
        <v>0</v>
      </c>
      <c r="S200" s="584">
        <f t="shared" si="130"/>
        <v>0.4429821598025249</v>
      </c>
      <c r="T200" s="584" t="e">
        <f t="shared" si="131"/>
        <v>#DIV/0!</v>
      </c>
      <c r="U200" s="584">
        <f t="shared" si="132"/>
        <v>0.4429821598025249</v>
      </c>
      <c r="V200" s="560"/>
      <c r="W200" s="597"/>
    </row>
    <row r="201" spans="1:23" s="238" customFormat="1" ht="18">
      <c r="A201" s="563"/>
      <c r="B201" s="574" t="s">
        <v>557</v>
      </c>
      <c r="C201" s="560">
        <f t="shared" si="133"/>
        <v>819.0033</v>
      </c>
      <c r="D201" s="560"/>
      <c r="E201" s="560">
        <v>819.0033</v>
      </c>
      <c r="F201" s="560">
        <f t="shared" si="134"/>
        <v>524.32</v>
      </c>
      <c r="G201" s="560">
        <f t="shared" si="135"/>
        <v>0</v>
      </c>
      <c r="H201" s="560">
        <f t="shared" si="136"/>
        <v>524.32</v>
      </c>
      <c r="I201" s="560">
        <f t="shared" si="137"/>
        <v>524.32</v>
      </c>
      <c r="J201" s="560">
        <f t="shared" si="138"/>
        <v>0</v>
      </c>
      <c r="K201" s="560"/>
      <c r="L201" s="560">
        <f t="shared" si="139"/>
        <v>524.32</v>
      </c>
      <c r="M201" s="560">
        <v>524.32</v>
      </c>
      <c r="N201" s="560">
        <f t="shared" si="140"/>
        <v>0</v>
      </c>
      <c r="O201" s="560">
        <f t="shared" si="141"/>
        <v>0</v>
      </c>
      <c r="P201" s="560"/>
      <c r="Q201" s="560">
        <f t="shared" si="142"/>
        <v>0</v>
      </c>
      <c r="R201" s="560"/>
      <c r="S201" s="584">
        <f t="shared" si="130"/>
        <v>0.6401927806640096</v>
      </c>
      <c r="T201" s="584" t="e">
        <f t="shared" si="131"/>
        <v>#DIV/0!</v>
      </c>
      <c r="U201" s="584">
        <f t="shared" si="132"/>
        <v>0.6401927806640096</v>
      </c>
      <c r="V201" s="560"/>
      <c r="W201" s="597"/>
    </row>
    <row r="202" spans="1:23" s="238" customFormat="1" ht="18">
      <c r="A202" s="563"/>
      <c r="B202" s="574" t="s">
        <v>556</v>
      </c>
      <c r="C202" s="560">
        <f t="shared" si="133"/>
        <v>776.0006500000001</v>
      </c>
      <c r="D202" s="560"/>
      <c r="E202" s="560">
        <v>776.0006500000001</v>
      </c>
      <c r="F202" s="560">
        <f t="shared" si="134"/>
        <v>318.3338</v>
      </c>
      <c r="G202" s="560">
        <f t="shared" si="135"/>
        <v>0</v>
      </c>
      <c r="H202" s="560">
        <f t="shared" si="136"/>
        <v>318.3338</v>
      </c>
      <c r="I202" s="560">
        <f t="shared" si="137"/>
        <v>318.3338</v>
      </c>
      <c r="J202" s="560">
        <f t="shared" si="138"/>
        <v>0</v>
      </c>
      <c r="K202" s="560"/>
      <c r="L202" s="560">
        <f t="shared" si="139"/>
        <v>318.3338</v>
      </c>
      <c r="M202" s="560">
        <v>318.3338</v>
      </c>
      <c r="N202" s="560">
        <f t="shared" si="140"/>
        <v>0</v>
      </c>
      <c r="O202" s="560">
        <f t="shared" si="141"/>
        <v>0</v>
      </c>
      <c r="P202" s="560"/>
      <c r="Q202" s="560">
        <f t="shared" si="142"/>
        <v>0</v>
      </c>
      <c r="R202" s="560"/>
      <c r="S202" s="584">
        <f t="shared" si="130"/>
        <v>0.41022362545701474</v>
      </c>
      <c r="T202" s="584" t="e">
        <f t="shared" si="131"/>
        <v>#DIV/0!</v>
      </c>
      <c r="U202" s="584">
        <f t="shared" si="132"/>
        <v>0.41022362545701474</v>
      </c>
      <c r="V202" s="560"/>
      <c r="W202" s="597"/>
    </row>
    <row r="203" spans="1:23" s="238" customFormat="1" ht="18">
      <c r="A203" s="563"/>
      <c r="B203" s="574" t="s">
        <v>555</v>
      </c>
      <c r="C203" s="560">
        <f t="shared" si="133"/>
        <v>752.0020000000001</v>
      </c>
      <c r="D203" s="560"/>
      <c r="E203" s="560">
        <v>752.0020000000001</v>
      </c>
      <c r="F203" s="560">
        <f t="shared" si="134"/>
        <v>400</v>
      </c>
      <c r="G203" s="560">
        <f t="shared" si="135"/>
        <v>0</v>
      </c>
      <c r="H203" s="560">
        <f t="shared" si="136"/>
        <v>400</v>
      </c>
      <c r="I203" s="560">
        <f t="shared" si="137"/>
        <v>400</v>
      </c>
      <c r="J203" s="560">
        <f t="shared" si="138"/>
        <v>0</v>
      </c>
      <c r="K203" s="560"/>
      <c r="L203" s="560">
        <f t="shared" si="139"/>
        <v>400</v>
      </c>
      <c r="M203" s="560">
        <v>400</v>
      </c>
      <c r="N203" s="560">
        <f t="shared" si="140"/>
        <v>0</v>
      </c>
      <c r="O203" s="560">
        <f t="shared" si="141"/>
        <v>0</v>
      </c>
      <c r="P203" s="560"/>
      <c r="Q203" s="560">
        <f t="shared" si="142"/>
        <v>0</v>
      </c>
      <c r="R203" s="560"/>
      <c r="S203" s="584">
        <f t="shared" si="130"/>
        <v>0.5319134789535134</v>
      </c>
      <c r="T203" s="584" t="e">
        <f t="shared" si="131"/>
        <v>#DIV/0!</v>
      </c>
      <c r="U203" s="584">
        <f t="shared" si="132"/>
        <v>0.5319134789535134</v>
      </c>
      <c r="V203" s="560"/>
      <c r="W203" s="597"/>
    </row>
    <row r="204" spans="1:23" s="238" customFormat="1" ht="18">
      <c r="A204" s="563"/>
      <c r="B204" s="574" t="s">
        <v>558</v>
      </c>
      <c r="C204" s="560">
        <f t="shared" si="133"/>
        <v>802.0034</v>
      </c>
      <c r="D204" s="560"/>
      <c r="E204" s="560">
        <v>802.0034</v>
      </c>
      <c r="F204" s="560">
        <f t="shared" si="134"/>
        <v>398.1691</v>
      </c>
      <c r="G204" s="560">
        <f t="shared" si="135"/>
        <v>0</v>
      </c>
      <c r="H204" s="560">
        <f t="shared" si="136"/>
        <v>398.1691</v>
      </c>
      <c r="I204" s="560">
        <f t="shared" si="137"/>
        <v>398.1691</v>
      </c>
      <c r="J204" s="560">
        <f t="shared" si="138"/>
        <v>0</v>
      </c>
      <c r="K204" s="560"/>
      <c r="L204" s="560">
        <f t="shared" si="139"/>
        <v>398.1691</v>
      </c>
      <c r="M204" s="560">
        <f>398.1691</f>
        <v>398.1691</v>
      </c>
      <c r="N204" s="560">
        <f t="shared" si="140"/>
        <v>0</v>
      </c>
      <c r="O204" s="560">
        <f t="shared" si="141"/>
        <v>0</v>
      </c>
      <c r="P204" s="560"/>
      <c r="Q204" s="560">
        <f t="shared" si="142"/>
        <v>0</v>
      </c>
      <c r="R204" s="560"/>
      <c r="S204" s="584">
        <f t="shared" si="130"/>
        <v>0.49646809477366305</v>
      </c>
      <c r="T204" s="584" t="e">
        <f t="shared" si="131"/>
        <v>#DIV/0!</v>
      </c>
      <c r="U204" s="584">
        <f t="shared" si="132"/>
        <v>0.49646809477366305</v>
      </c>
      <c r="V204" s="560"/>
      <c r="W204" s="597"/>
    </row>
    <row r="205" spans="1:23" s="238" customFormat="1" ht="18">
      <c r="A205" s="563"/>
      <c r="B205" s="574" t="s">
        <v>559</v>
      </c>
      <c r="C205" s="560">
        <f t="shared" si="133"/>
        <v>797.0246000000001</v>
      </c>
      <c r="D205" s="560"/>
      <c r="E205" s="560">
        <v>797.0246000000001</v>
      </c>
      <c r="F205" s="560">
        <f t="shared" si="134"/>
        <v>4</v>
      </c>
      <c r="G205" s="560">
        <f t="shared" si="135"/>
        <v>0</v>
      </c>
      <c r="H205" s="560">
        <f t="shared" si="136"/>
        <v>4</v>
      </c>
      <c r="I205" s="560">
        <f t="shared" si="137"/>
        <v>4</v>
      </c>
      <c r="J205" s="560">
        <f t="shared" si="138"/>
        <v>0</v>
      </c>
      <c r="K205" s="560"/>
      <c r="L205" s="560">
        <f t="shared" si="139"/>
        <v>4</v>
      </c>
      <c r="M205" s="560">
        <v>4</v>
      </c>
      <c r="N205" s="560">
        <f t="shared" si="140"/>
        <v>0</v>
      </c>
      <c r="O205" s="560">
        <f t="shared" si="141"/>
        <v>0</v>
      </c>
      <c r="P205" s="560"/>
      <c r="Q205" s="560">
        <f t="shared" si="142"/>
        <v>0</v>
      </c>
      <c r="R205" s="560"/>
      <c r="S205" s="584">
        <f t="shared" si="130"/>
        <v>0.005018665672301708</v>
      </c>
      <c r="T205" s="584" t="e">
        <f t="shared" si="131"/>
        <v>#DIV/0!</v>
      </c>
      <c r="U205" s="584">
        <f t="shared" si="132"/>
        <v>0.005018665672301708</v>
      </c>
      <c r="V205" s="560"/>
      <c r="W205" s="597"/>
    </row>
    <row r="206" spans="1:23" s="238" customFormat="1" ht="18">
      <c r="A206" s="563"/>
      <c r="B206" s="574" t="s">
        <v>554</v>
      </c>
      <c r="C206" s="560">
        <f t="shared" si="133"/>
        <v>769.0002000000001</v>
      </c>
      <c r="D206" s="560"/>
      <c r="E206" s="560">
        <v>769.0002000000001</v>
      </c>
      <c r="F206" s="560">
        <f t="shared" si="134"/>
        <v>381.8860000000001</v>
      </c>
      <c r="G206" s="560">
        <f t="shared" si="135"/>
        <v>0</v>
      </c>
      <c r="H206" s="560">
        <f t="shared" si="136"/>
        <v>381.8860000000001</v>
      </c>
      <c r="I206" s="560">
        <f t="shared" si="137"/>
        <v>381.8860000000001</v>
      </c>
      <c r="J206" s="560">
        <f t="shared" si="138"/>
        <v>0</v>
      </c>
      <c r="K206" s="560"/>
      <c r="L206" s="560">
        <f t="shared" si="139"/>
        <v>381.8860000000001</v>
      </c>
      <c r="M206" s="560">
        <v>381.8860000000001</v>
      </c>
      <c r="N206" s="560">
        <f t="shared" si="140"/>
        <v>0</v>
      </c>
      <c r="O206" s="560">
        <f t="shared" si="141"/>
        <v>0</v>
      </c>
      <c r="P206" s="560"/>
      <c r="Q206" s="560">
        <f t="shared" si="142"/>
        <v>0</v>
      </c>
      <c r="R206" s="560"/>
      <c r="S206" s="584">
        <f t="shared" si="130"/>
        <v>0.4966006510791545</v>
      </c>
      <c r="T206" s="584" t="e">
        <f t="shared" si="131"/>
        <v>#DIV/0!</v>
      </c>
      <c r="U206" s="584">
        <f t="shared" si="132"/>
        <v>0.4966006510791545</v>
      </c>
      <c r="V206" s="560"/>
      <c r="W206" s="597"/>
    </row>
    <row r="207" spans="1:23" s="238" customFormat="1" ht="18">
      <c r="A207" s="563"/>
      <c r="B207" s="574" t="s">
        <v>553</v>
      </c>
      <c r="C207" s="560">
        <f t="shared" si="133"/>
        <v>496</v>
      </c>
      <c r="D207" s="560"/>
      <c r="E207" s="560">
        <v>496</v>
      </c>
      <c r="F207" s="560">
        <f t="shared" si="134"/>
        <v>123.77470000000005</v>
      </c>
      <c r="G207" s="560">
        <f t="shared" si="135"/>
        <v>0</v>
      </c>
      <c r="H207" s="560">
        <f t="shared" si="136"/>
        <v>123.77470000000005</v>
      </c>
      <c r="I207" s="560">
        <f t="shared" si="137"/>
        <v>123.77470000000005</v>
      </c>
      <c r="J207" s="560">
        <f t="shared" si="138"/>
        <v>0</v>
      </c>
      <c r="K207" s="560"/>
      <c r="L207" s="560">
        <f t="shared" si="139"/>
        <v>123.77470000000005</v>
      </c>
      <c r="M207" s="560">
        <v>123.77470000000005</v>
      </c>
      <c r="N207" s="560">
        <f t="shared" si="140"/>
        <v>0</v>
      </c>
      <c r="O207" s="560">
        <f t="shared" si="141"/>
        <v>0</v>
      </c>
      <c r="P207" s="560"/>
      <c r="Q207" s="560">
        <f t="shared" si="142"/>
        <v>0</v>
      </c>
      <c r="R207" s="560"/>
      <c r="S207" s="584">
        <f t="shared" si="130"/>
        <v>0.24954576612903237</v>
      </c>
      <c r="T207" s="584" t="e">
        <f t="shared" si="131"/>
        <v>#DIV/0!</v>
      </c>
      <c r="U207" s="584">
        <f t="shared" si="132"/>
        <v>0.24954576612903237</v>
      </c>
      <c r="V207" s="560"/>
      <c r="W207" s="597"/>
    </row>
    <row r="208" spans="1:23" s="238" customFormat="1" ht="18">
      <c r="A208" s="563"/>
      <c r="B208" s="574" t="s">
        <v>548</v>
      </c>
      <c r="C208" s="560">
        <f t="shared" si="133"/>
        <v>124</v>
      </c>
      <c r="D208" s="560"/>
      <c r="E208" s="560">
        <v>124</v>
      </c>
      <c r="F208" s="560">
        <f t="shared" si="134"/>
        <v>120.939</v>
      </c>
      <c r="G208" s="560">
        <f t="shared" si="135"/>
        <v>0</v>
      </c>
      <c r="H208" s="560">
        <f t="shared" si="136"/>
        <v>120.939</v>
      </c>
      <c r="I208" s="560">
        <f t="shared" si="137"/>
        <v>120.939</v>
      </c>
      <c r="J208" s="560">
        <f t="shared" si="138"/>
        <v>0</v>
      </c>
      <c r="K208" s="560"/>
      <c r="L208" s="560">
        <f t="shared" si="139"/>
        <v>120.939</v>
      </c>
      <c r="M208" s="560">
        <v>120.939</v>
      </c>
      <c r="N208" s="560">
        <f t="shared" si="140"/>
        <v>0</v>
      </c>
      <c r="O208" s="560">
        <f t="shared" si="141"/>
        <v>0</v>
      </c>
      <c r="P208" s="560"/>
      <c r="Q208" s="560">
        <f t="shared" si="142"/>
        <v>0</v>
      </c>
      <c r="R208" s="560"/>
      <c r="S208" s="584">
        <f t="shared" si="130"/>
        <v>0.9753145161290322</v>
      </c>
      <c r="T208" s="584" t="e">
        <f t="shared" si="131"/>
        <v>#DIV/0!</v>
      </c>
      <c r="U208" s="584">
        <f t="shared" si="132"/>
        <v>0.9753145161290322</v>
      </c>
      <c r="V208" s="560"/>
      <c r="W208" s="597"/>
    </row>
    <row r="209" spans="1:23" s="238" customFormat="1" ht="18">
      <c r="A209" s="563"/>
      <c r="B209" s="574" t="s">
        <v>583</v>
      </c>
      <c r="C209" s="560">
        <f t="shared" si="133"/>
        <v>124</v>
      </c>
      <c r="D209" s="560"/>
      <c r="E209" s="560">
        <v>124</v>
      </c>
      <c r="F209" s="560">
        <f t="shared" si="134"/>
        <v>121.066</v>
      </c>
      <c r="G209" s="560">
        <f t="shared" si="135"/>
        <v>0</v>
      </c>
      <c r="H209" s="560">
        <f t="shared" si="136"/>
        <v>121.066</v>
      </c>
      <c r="I209" s="560">
        <f t="shared" si="137"/>
        <v>121.066</v>
      </c>
      <c r="J209" s="560">
        <f t="shared" si="138"/>
        <v>0</v>
      </c>
      <c r="K209" s="560"/>
      <c r="L209" s="560">
        <f t="shared" si="139"/>
        <v>121.066</v>
      </c>
      <c r="M209" s="560">
        <v>121.066</v>
      </c>
      <c r="N209" s="560">
        <f t="shared" si="140"/>
        <v>0</v>
      </c>
      <c r="O209" s="560">
        <f t="shared" si="141"/>
        <v>0</v>
      </c>
      <c r="P209" s="560"/>
      <c r="Q209" s="560">
        <f t="shared" si="142"/>
        <v>0</v>
      </c>
      <c r="R209" s="560"/>
      <c r="S209" s="584">
        <f t="shared" si="130"/>
        <v>0.9763387096774194</v>
      </c>
      <c r="T209" s="584" t="e">
        <f t="shared" si="131"/>
        <v>#DIV/0!</v>
      </c>
      <c r="U209" s="584">
        <f t="shared" si="132"/>
        <v>0.9763387096774194</v>
      </c>
      <c r="V209" s="560"/>
      <c r="W209" s="597"/>
    </row>
    <row r="210" spans="1:23" s="238" customFormat="1" ht="18">
      <c r="A210" s="563"/>
      <c r="B210" s="574" t="s">
        <v>763</v>
      </c>
      <c r="C210" s="560">
        <f t="shared" si="133"/>
        <v>123.97</v>
      </c>
      <c r="D210" s="560"/>
      <c r="E210" s="560">
        <v>123.97</v>
      </c>
      <c r="F210" s="560">
        <f t="shared" si="134"/>
        <v>123.97</v>
      </c>
      <c r="G210" s="560">
        <f t="shared" si="135"/>
        <v>0</v>
      </c>
      <c r="H210" s="560">
        <f t="shared" si="136"/>
        <v>123.97</v>
      </c>
      <c r="I210" s="560">
        <f t="shared" si="137"/>
        <v>123.97</v>
      </c>
      <c r="J210" s="560">
        <f t="shared" si="138"/>
        <v>0</v>
      </c>
      <c r="K210" s="560"/>
      <c r="L210" s="560">
        <f t="shared" si="139"/>
        <v>123.97</v>
      </c>
      <c r="M210" s="560">
        <v>123.97</v>
      </c>
      <c r="N210" s="560">
        <f t="shared" si="140"/>
        <v>0</v>
      </c>
      <c r="O210" s="560">
        <f t="shared" si="141"/>
        <v>0</v>
      </c>
      <c r="P210" s="560"/>
      <c r="Q210" s="560">
        <f t="shared" si="142"/>
        <v>0</v>
      </c>
      <c r="R210" s="560"/>
      <c r="S210" s="584">
        <f t="shared" si="130"/>
        <v>1</v>
      </c>
      <c r="T210" s="584" t="e">
        <f t="shared" si="131"/>
        <v>#DIV/0!</v>
      </c>
      <c r="U210" s="584">
        <f t="shared" si="132"/>
        <v>1</v>
      </c>
      <c r="V210" s="560"/>
      <c r="W210" s="597"/>
    </row>
    <row r="211" spans="1:23" s="238" customFormat="1" ht="18">
      <c r="A211" s="563"/>
      <c r="B211" s="574" t="s">
        <v>582</v>
      </c>
      <c r="C211" s="560">
        <f t="shared" si="133"/>
        <v>248</v>
      </c>
      <c r="D211" s="560"/>
      <c r="E211" s="560">
        <v>248</v>
      </c>
      <c r="F211" s="560">
        <f t="shared" si="134"/>
        <v>0</v>
      </c>
      <c r="G211" s="560">
        <f t="shared" si="135"/>
        <v>0</v>
      </c>
      <c r="H211" s="560">
        <f t="shared" si="136"/>
        <v>0</v>
      </c>
      <c r="I211" s="560">
        <f t="shared" si="137"/>
        <v>0</v>
      </c>
      <c r="J211" s="560">
        <f t="shared" si="138"/>
        <v>0</v>
      </c>
      <c r="K211" s="560"/>
      <c r="L211" s="560">
        <f t="shared" si="139"/>
        <v>0</v>
      </c>
      <c r="M211" s="560"/>
      <c r="N211" s="560">
        <f t="shared" si="140"/>
        <v>0</v>
      </c>
      <c r="O211" s="560">
        <f t="shared" si="141"/>
        <v>0</v>
      </c>
      <c r="P211" s="560"/>
      <c r="Q211" s="560">
        <f t="shared" si="142"/>
        <v>0</v>
      </c>
      <c r="R211" s="560"/>
      <c r="S211" s="584">
        <f t="shared" si="130"/>
        <v>0</v>
      </c>
      <c r="T211" s="584" t="e">
        <f t="shared" si="131"/>
        <v>#DIV/0!</v>
      </c>
      <c r="U211" s="584">
        <f t="shared" si="132"/>
        <v>0</v>
      </c>
      <c r="V211" s="560"/>
      <c r="W211" s="597"/>
    </row>
    <row r="212" spans="1:23" s="238" customFormat="1" ht="18">
      <c r="A212" s="563"/>
      <c r="B212" s="574" t="s">
        <v>547</v>
      </c>
      <c r="C212" s="560">
        <f t="shared" si="133"/>
        <v>124</v>
      </c>
      <c r="D212" s="560"/>
      <c r="E212" s="560">
        <v>124</v>
      </c>
      <c r="F212" s="560">
        <f t="shared" si="134"/>
        <v>121.502</v>
      </c>
      <c r="G212" s="560">
        <f t="shared" si="135"/>
        <v>0</v>
      </c>
      <c r="H212" s="560">
        <f t="shared" si="136"/>
        <v>121.502</v>
      </c>
      <c r="I212" s="560">
        <f t="shared" si="137"/>
        <v>121.502</v>
      </c>
      <c r="J212" s="560">
        <f t="shared" si="138"/>
        <v>0</v>
      </c>
      <c r="K212" s="560"/>
      <c r="L212" s="560">
        <f t="shared" si="139"/>
        <v>121.502</v>
      </c>
      <c r="M212" s="560">
        <v>121.502</v>
      </c>
      <c r="N212" s="560">
        <f t="shared" si="140"/>
        <v>0</v>
      </c>
      <c r="O212" s="560">
        <f t="shared" si="141"/>
        <v>0</v>
      </c>
      <c r="P212" s="560"/>
      <c r="Q212" s="560">
        <f t="shared" si="142"/>
        <v>0</v>
      </c>
      <c r="R212" s="560"/>
      <c r="S212" s="584">
        <f t="shared" si="130"/>
        <v>0.9798548387096774</v>
      </c>
      <c r="T212" s="584" t="e">
        <f t="shared" si="131"/>
        <v>#DIV/0!</v>
      </c>
      <c r="U212" s="584">
        <f t="shared" si="132"/>
        <v>0.9798548387096774</v>
      </c>
      <c r="V212" s="560"/>
      <c r="W212" s="597"/>
    </row>
    <row r="213" spans="1:23" s="238" customFormat="1" ht="105">
      <c r="A213" s="556">
        <v>3</v>
      </c>
      <c r="B213" s="565" t="s">
        <v>572</v>
      </c>
      <c r="C213" s="553">
        <f>C214+C222+C223+C224+C225+C226+C227+C228+C229+C230+C231+C232</f>
        <v>10577</v>
      </c>
      <c r="D213" s="553">
        <f aca="true" t="shared" si="145" ref="D213:R213">D214+D222+D223+D224+D225+D226+D227+D228+D229+D230+D231+D232</f>
        <v>7121</v>
      </c>
      <c r="E213" s="553">
        <f t="shared" si="145"/>
        <v>3456</v>
      </c>
      <c r="F213" s="553">
        <f t="shared" si="145"/>
        <v>13598.687000000002</v>
      </c>
      <c r="G213" s="553">
        <f t="shared" si="145"/>
        <v>10339.117</v>
      </c>
      <c r="H213" s="553">
        <f t="shared" si="145"/>
        <v>3259.57</v>
      </c>
      <c r="I213" s="553">
        <f t="shared" si="145"/>
        <v>13598.687000000002</v>
      </c>
      <c r="J213" s="553">
        <f t="shared" si="145"/>
        <v>10339.117</v>
      </c>
      <c r="K213" s="553">
        <f>K214+K222+K223+K224+K225+K226+K227+K228+K229+K230+K231+K232</f>
        <v>10339.117</v>
      </c>
      <c r="L213" s="553">
        <f t="shared" si="145"/>
        <v>3259.57</v>
      </c>
      <c r="M213" s="553">
        <f t="shared" si="145"/>
        <v>3259.57</v>
      </c>
      <c r="N213" s="553">
        <f t="shared" si="145"/>
        <v>0</v>
      </c>
      <c r="O213" s="553">
        <f t="shared" si="145"/>
        <v>0</v>
      </c>
      <c r="P213" s="553">
        <f t="shared" si="145"/>
        <v>0</v>
      </c>
      <c r="Q213" s="553">
        <f t="shared" si="145"/>
        <v>0</v>
      </c>
      <c r="R213" s="553">
        <f t="shared" si="145"/>
        <v>0</v>
      </c>
      <c r="S213" s="584">
        <f t="shared" si="130"/>
        <v>1.2856846932022314</v>
      </c>
      <c r="T213" s="584">
        <f t="shared" si="131"/>
        <v>1.4519192529139167</v>
      </c>
      <c r="U213" s="584">
        <f t="shared" si="132"/>
        <v>0.9431626157407408</v>
      </c>
      <c r="V213" s="553"/>
      <c r="W213" s="597"/>
    </row>
    <row r="214" spans="1:23" s="238" customFormat="1" ht="18">
      <c r="A214" s="563" t="s">
        <v>258</v>
      </c>
      <c r="B214" s="574" t="s">
        <v>766</v>
      </c>
      <c r="C214" s="560">
        <f>SUM(C215:C221)</f>
        <v>3456</v>
      </c>
      <c r="D214" s="560">
        <f aca="true" t="shared" si="146" ref="D214:R214">SUM(D215:D221)</f>
        <v>0</v>
      </c>
      <c r="E214" s="560">
        <f>SUM(E215:E221)</f>
        <v>3456</v>
      </c>
      <c r="F214" s="560">
        <f t="shared" si="146"/>
        <v>3259.57</v>
      </c>
      <c r="G214" s="560">
        <f t="shared" si="146"/>
        <v>0</v>
      </c>
      <c r="H214" s="560">
        <f t="shared" si="146"/>
        <v>3259.57</v>
      </c>
      <c r="I214" s="560">
        <f t="shared" si="146"/>
        <v>3259.57</v>
      </c>
      <c r="J214" s="560">
        <f t="shared" si="146"/>
        <v>0</v>
      </c>
      <c r="K214" s="560">
        <f t="shared" si="146"/>
        <v>0</v>
      </c>
      <c r="L214" s="560">
        <f t="shared" si="146"/>
        <v>3259.57</v>
      </c>
      <c r="M214" s="560">
        <f t="shared" si="146"/>
        <v>3259.57</v>
      </c>
      <c r="N214" s="560">
        <f t="shared" si="146"/>
        <v>0</v>
      </c>
      <c r="O214" s="560">
        <f t="shared" si="146"/>
        <v>0</v>
      </c>
      <c r="P214" s="560">
        <f t="shared" si="146"/>
        <v>0</v>
      </c>
      <c r="Q214" s="560">
        <f t="shared" si="146"/>
        <v>0</v>
      </c>
      <c r="R214" s="560">
        <f t="shared" si="146"/>
        <v>0</v>
      </c>
      <c r="S214" s="584">
        <f t="shared" si="130"/>
        <v>0.9431626157407408</v>
      </c>
      <c r="T214" s="584" t="e">
        <f t="shared" si="131"/>
        <v>#DIV/0!</v>
      </c>
      <c r="U214" s="584">
        <f t="shared" si="132"/>
        <v>0.9431626157407408</v>
      </c>
      <c r="V214" s="560"/>
      <c r="W214" s="597"/>
    </row>
    <row r="215" spans="1:23" s="238" customFormat="1" ht="18">
      <c r="A215" s="561"/>
      <c r="B215" s="574" t="s">
        <v>557</v>
      </c>
      <c r="C215" s="560">
        <f t="shared" si="133"/>
        <v>500</v>
      </c>
      <c r="D215" s="560"/>
      <c r="E215" s="560">
        <v>500</v>
      </c>
      <c r="F215" s="560">
        <f t="shared" si="134"/>
        <v>498.061</v>
      </c>
      <c r="G215" s="560">
        <f t="shared" si="135"/>
        <v>0</v>
      </c>
      <c r="H215" s="560">
        <f t="shared" si="136"/>
        <v>498.061</v>
      </c>
      <c r="I215" s="560">
        <f t="shared" si="137"/>
        <v>498.061</v>
      </c>
      <c r="J215" s="560">
        <f t="shared" si="138"/>
        <v>0</v>
      </c>
      <c r="K215" s="589"/>
      <c r="L215" s="560">
        <f t="shared" si="139"/>
        <v>498.061</v>
      </c>
      <c r="M215" s="560">
        <v>498.061</v>
      </c>
      <c r="N215" s="560">
        <f t="shared" si="140"/>
        <v>0</v>
      </c>
      <c r="O215" s="560">
        <f t="shared" si="141"/>
        <v>0</v>
      </c>
      <c r="P215" s="560"/>
      <c r="Q215" s="560">
        <f t="shared" si="142"/>
        <v>0</v>
      </c>
      <c r="R215" s="560"/>
      <c r="S215" s="584">
        <f t="shared" si="130"/>
        <v>0.996122</v>
      </c>
      <c r="T215" s="584" t="e">
        <f t="shared" si="131"/>
        <v>#DIV/0!</v>
      </c>
      <c r="U215" s="584">
        <f t="shared" si="132"/>
        <v>0.996122</v>
      </c>
      <c r="V215" s="560"/>
      <c r="W215" s="597"/>
    </row>
    <row r="216" spans="1:23" s="238" customFormat="1" ht="18">
      <c r="A216" s="561"/>
      <c r="B216" s="574" t="s">
        <v>556</v>
      </c>
      <c r="C216" s="560">
        <f t="shared" si="133"/>
        <v>500</v>
      </c>
      <c r="D216" s="560"/>
      <c r="E216" s="560">
        <v>500</v>
      </c>
      <c r="F216" s="560">
        <f t="shared" si="134"/>
        <v>498.457</v>
      </c>
      <c r="G216" s="560">
        <f t="shared" si="135"/>
        <v>0</v>
      </c>
      <c r="H216" s="560">
        <f t="shared" si="136"/>
        <v>498.457</v>
      </c>
      <c r="I216" s="560">
        <f t="shared" si="137"/>
        <v>498.457</v>
      </c>
      <c r="J216" s="560">
        <f t="shared" si="138"/>
        <v>0</v>
      </c>
      <c r="K216" s="560"/>
      <c r="L216" s="560">
        <f t="shared" si="139"/>
        <v>498.457</v>
      </c>
      <c r="M216" s="560">
        <v>498.457</v>
      </c>
      <c r="N216" s="560">
        <f t="shared" si="140"/>
        <v>0</v>
      </c>
      <c r="O216" s="560">
        <f t="shared" si="141"/>
        <v>0</v>
      </c>
      <c r="P216" s="560"/>
      <c r="Q216" s="560">
        <f t="shared" si="142"/>
        <v>0</v>
      </c>
      <c r="R216" s="560"/>
      <c r="S216" s="584">
        <f t="shared" si="130"/>
        <v>0.996914</v>
      </c>
      <c r="T216" s="584" t="e">
        <f t="shared" si="131"/>
        <v>#DIV/0!</v>
      </c>
      <c r="U216" s="584">
        <f t="shared" si="132"/>
        <v>0.996914</v>
      </c>
      <c r="V216" s="560"/>
      <c r="W216" s="596"/>
    </row>
    <row r="217" spans="1:23" s="238" customFormat="1" ht="18">
      <c r="A217" s="561"/>
      <c r="B217" s="574" t="s">
        <v>555</v>
      </c>
      <c r="C217" s="560">
        <f t="shared" si="133"/>
        <v>500</v>
      </c>
      <c r="D217" s="560"/>
      <c r="E217" s="560">
        <v>500</v>
      </c>
      <c r="F217" s="560">
        <f t="shared" si="134"/>
        <v>481.929</v>
      </c>
      <c r="G217" s="560">
        <f t="shared" si="135"/>
        <v>0</v>
      </c>
      <c r="H217" s="560">
        <f t="shared" si="136"/>
        <v>481.929</v>
      </c>
      <c r="I217" s="560">
        <f t="shared" si="137"/>
        <v>481.929</v>
      </c>
      <c r="J217" s="560">
        <f t="shared" si="138"/>
        <v>0</v>
      </c>
      <c r="K217" s="560"/>
      <c r="L217" s="560">
        <f t="shared" si="139"/>
        <v>481.929</v>
      </c>
      <c r="M217" s="560">
        <v>481.929</v>
      </c>
      <c r="N217" s="560">
        <f t="shared" si="140"/>
        <v>0</v>
      </c>
      <c r="O217" s="560">
        <f t="shared" si="141"/>
        <v>0</v>
      </c>
      <c r="P217" s="560"/>
      <c r="Q217" s="560">
        <f t="shared" si="142"/>
        <v>0</v>
      </c>
      <c r="R217" s="560"/>
      <c r="S217" s="584">
        <f t="shared" si="130"/>
        <v>0.963858</v>
      </c>
      <c r="T217" s="584" t="e">
        <f t="shared" si="131"/>
        <v>#DIV/0!</v>
      </c>
      <c r="U217" s="584">
        <f t="shared" si="132"/>
        <v>0.963858</v>
      </c>
      <c r="V217" s="560"/>
      <c r="W217" s="596"/>
    </row>
    <row r="218" spans="1:23" s="238" customFormat="1" ht="18">
      <c r="A218" s="561"/>
      <c r="B218" s="574" t="s">
        <v>558</v>
      </c>
      <c r="C218" s="560">
        <f t="shared" si="133"/>
        <v>500</v>
      </c>
      <c r="D218" s="560"/>
      <c r="E218" s="560">
        <v>500</v>
      </c>
      <c r="F218" s="560">
        <f t="shared" si="134"/>
        <v>490.638</v>
      </c>
      <c r="G218" s="560">
        <f t="shared" si="135"/>
        <v>0</v>
      </c>
      <c r="H218" s="560">
        <f t="shared" si="136"/>
        <v>490.638</v>
      </c>
      <c r="I218" s="560">
        <f t="shared" si="137"/>
        <v>490.638</v>
      </c>
      <c r="J218" s="560">
        <f t="shared" si="138"/>
        <v>0</v>
      </c>
      <c r="K218" s="560"/>
      <c r="L218" s="560">
        <f t="shared" si="139"/>
        <v>490.638</v>
      </c>
      <c r="M218" s="560">
        <v>490.638</v>
      </c>
      <c r="N218" s="560">
        <f t="shared" si="140"/>
        <v>0</v>
      </c>
      <c r="O218" s="560">
        <f t="shared" si="141"/>
        <v>0</v>
      </c>
      <c r="P218" s="560"/>
      <c r="Q218" s="560">
        <f t="shared" si="142"/>
        <v>0</v>
      </c>
      <c r="R218" s="560"/>
      <c r="S218" s="584">
        <f t="shared" si="130"/>
        <v>0.9812759999999999</v>
      </c>
      <c r="T218" s="584" t="e">
        <f t="shared" si="131"/>
        <v>#DIV/0!</v>
      </c>
      <c r="U218" s="584">
        <f t="shared" si="132"/>
        <v>0.9812759999999999</v>
      </c>
      <c r="V218" s="560"/>
      <c r="W218" s="596"/>
    </row>
    <row r="219" spans="1:23" s="238" customFormat="1" ht="18">
      <c r="A219" s="561"/>
      <c r="B219" s="574" t="s">
        <v>559</v>
      </c>
      <c r="C219" s="560">
        <f t="shared" si="133"/>
        <v>500</v>
      </c>
      <c r="D219" s="560"/>
      <c r="E219" s="560">
        <v>500</v>
      </c>
      <c r="F219" s="560">
        <f t="shared" si="134"/>
        <v>487.909</v>
      </c>
      <c r="G219" s="560">
        <f t="shared" si="135"/>
        <v>0</v>
      </c>
      <c r="H219" s="560">
        <f t="shared" si="136"/>
        <v>487.909</v>
      </c>
      <c r="I219" s="560">
        <f t="shared" si="137"/>
        <v>487.909</v>
      </c>
      <c r="J219" s="560">
        <f t="shared" si="138"/>
        <v>0</v>
      </c>
      <c r="K219" s="560"/>
      <c r="L219" s="560">
        <f t="shared" si="139"/>
        <v>487.909</v>
      </c>
      <c r="M219" s="560">
        <v>487.909</v>
      </c>
      <c r="N219" s="560">
        <f t="shared" si="140"/>
        <v>0</v>
      </c>
      <c r="O219" s="560">
        <f t="shared" si="141"/>
        <v>0</v>
      </c>
      <c r="P219" s="560"/>
      <c r="Q219" s="560">
        <f t="shared" si="142"/>
        <v>0</v>
      </c>
      <c r="R219" s="560"/>
      <c r="S219" s="584">
        <f t="shared" si="130"/>
        <v>0.975818</v>
      </c>
      <c r="T219" s="584" t="e">
        <f t="shared" si="131"/>
        <v>#DIV/0!</v>
      </c>
      <c r="U219" s="584">
        <f t="shared" si="132"/>
        <v>0.975818</v>
      </c>
      <c r="V219" s="560"/>
      <c r="W219" s="596"/>
    </row>
    <row r="220" spans="1:23" s="238" customFormat="1" ht="18">
      <c r="A220" s="561"/>
      <c r="B220" s="574" t="s">
        <v>554</v>
      </c>
      <c r="C220" s="560">
        <f t="shared" si="133"/>
        <v>500</v>
      </c>
      <c r="D220" s="560"/>
      <c r="E220" s="560">
        <v>500</v>
      </c>
      <c r="F220" s="560">
        <f t="shared" si="134"/>
        <v>362.609</v>
      </c>
      <c r="G220" s="560">
        <f t="shared" si="135"/>
        <v>0</v>
      </c>
      <c r="H220" s="560">
        <f t="shared" si="136"/>
        <v>362.609</v>
      </c>
      <c r="I220" s="560">
        <f t="shared" si="137"/>
        <v>362.609</v>
      </c>
      <c r="J220" s="560">
        <f t="shared" si="138"/>
        <v>0</v>
      </c>
      <c r="K220" s="560"/>
      <c r="L220" s="560">
        <f t="shared" si="139"/>
        <v>362.609</v>
      </c>
      <c r="M220" s="560">
        <v>362.609</v>
      </c>
      <c r="N220" s="560">
        <f t="shared" si="140"/>
        <v>0</v>
      </c>
      <c r="O220" s="560">
        <f t="shared" si="141"/>
        <v>0</v>
      </c>
      <c r="P220" s="560"/>
      <c r="Q220" s="560">
        <f t="shared" si="142"/>
        <v>0</v>
      </c>
      <c r="R220" s="560"/>
      <c r="S220" s="584">
        <f t="shared" si="130"/>
        <v>0.7252179999999999</v>
      </c>
      <c r="T220" s="584" t="e">
        <f t="shared" si="131"/>
        <v>#DIV/0!</v>
      </c>
      <c r="U220" s="584">
        <f t="shared" si="132"/>
        <v>0.7252179999999999</v>
      </c>
      <c r="V220" s="560"/>
      <c r="W220" s="596"/>
    </row>
    <row r="221" spans="1:23" s="238" customFormat="1" ht="18">
      <c r="A221" s="561"/>
      <c r="B221" s="574" t="s">
        <v>553</v>
      </c>
      <c r="C221" s="560">
        <f t="shared" si="133"/>
        <v>456</v>
      </c>
      <c r="D221" s="576"/>
      <c r="E221" s="560">
        <v>456</v>
      </c>
      <c r="F221" s="560">
        <f t="shared" si="134"/>
        <v>439.967</v>
      </c>
      <c r="G221" s="560">
        <f t="shared" si="135"/>
        <v>0</v>
      </c>
      <c r="H221" s="560">
        <f t="shared" si="136"/>
        <v>439.967</v>
      </c>
      <c r="I221" s="560">
        <f t="shared" si="137"/>
        <v>439.967</v>
      </c>
      <c r="J221" s="560">
        <f t="shared" si="138"/>
        <v>0</v>
      </c>
      <c r="K221" s="560"/>
      <c r="L221" s="560">
        <f t="shared" si="139"/>
        <v>439.967</v>
      </c>
      <c r="M221" s="576">
        <v>439.967</v>
      </c>
      <c r="N221" s="560">
        <f t="shared" si="140"/>
        <v>0</v>
      </c>
      <c r="O221" s="560">
        <f t="shared" si="141"/>
        <v>0</v>
      </c>
      <c r="P221" s="560"/>
      <c r="Q221" s="560">
        <f t="shared" si="142"/>
        <v>0</v>
      </c>
      <c r="R221" s="560"/>
      <c r="S221" s="584">
        <f t="shared" si="130"/>
        <v>0.9648399122807018</v>
      </c>
      <c r="T221" s="584" t="e">
        <f t="shared" si="131"/>
        <v>#DIV/0!</v>
      </c>
      <c r="U221" s="584">
        <f t="shared" si="132"/>
        <v>0.9648399122807018</v>
      </c>
      <c r="V221" s="576"/>
      <c r="W221" s="596"/>
    </row>
    <row r="222" spans="1:23" s="238" customFormat="1" ht="18">
      <c r="A222" s="561" t="s">
        <v>259</v>
      </c>
      <c r="B222" s="574" t="s">
        <v>556</v>
      </c>
      <c r="C222" s="560">
        <f t="shared" si="133"/>
        <v>1744</v>
      </c>
      <c r="D222" s="576">
        <v>1744</v>
      </c>
      <c r="E222" s="576"/>
      <c r="F222" s="560">
        <f t="shared" si="134"/>
        <v>2292.773</v>
      </c>
      <c r="G222" s="560">
        <f t="shared" si="135"/>
        <v>2292.773</v>
      </c>
      <c r="H222" s="560">
        <f t="shared" si="136"/>
        <v>0</v>
      </c>
      <c r="I222" s="560">
        <f t="shared" si="137"/>
        <v>2292.773</v>
      </c>
      <c r="J222" s="560">
        <f t="shared" si="138"/>
        <v>2292.773</v>
      </c>
      <c r="K222" s="560">
        <v>2292.773</v>
      </c>
      <c r="L222" s="560">
        <f t="shared" si="139"/>
        <v>0</v>
      </c>
      <c r="M222" s="576"/>
      <c r="N222" s="560">
        <f t="shared" si="140"/>
        <v>0</v>
      </c>
      <c r="O222" s="560">
        <f t="shared" si="141"/>
        <v>0</v>
      </c>
      <c r="P222" s="560"/>
      <c r="Q222" s="560">
        <f t="shared" si="142"/>
        <v>0</v>
      </c>
      <c r="R222" s="560"/>
      <c r="S222" s="584">
        <f t="shared" si="130"/>
        <v>1.3146634174311926</v>
      </c>
      <c r="T222" s="584">
        <f t="shared" si="131"/>
        <v>1.3146634174311926</v>
      </c>
      <c r="U222" s="584" t="e">
        <f t="shared" si="132"/>
        <v>#DIV/0!</v>
      </c>
      <c r="V222" s="576"/>
      <c r="W222" s="596"/>
    </row>
    <row r="223" spans="1:23" s="238" customFormat="1" ht="18">
      <c r="A223" s="561" t="s">
        <v>260</v>
      </c>
      <c r="B223" s="574" t="s">
        <v>554</v>
      </c>
      <c r="C223" s="560">
        <f t="shared" si="133"/>
        <v>1940</v>
      </c>
      <c r="D223" s="576">
        <v>1940</v>
      </c>
      <c r="E223" s="576"/>
      <c r="F223" s="560">
        <f t="shared" si="134"/>
        <v>1629</v>
      </c>
      <c r="G223" s="560">
        <f t="shared" si="135"/>
        <v>1629</v>
      </c>
      <c r="H223" s="560">
        <f t="shared" si="136"/>
        <v>0</v>
      </c>
      <c r="I223" s="560">
        <f t="shared" si="137"/>
        <v>1629</v>
      </c>
      <c r="J223" s="560">
        <f t="shared" si="138"/>
        <v>1629</v>
      </c>
      <c r="K223" s="560">
        <v>1629</v>
      </c>
      <c r="L223" s="560">
        <f t="shared" si="139"/>
        <v>0</v>
      </c>
      <c r="M223" s="576"/>
      <c r="N223" s="560">
        <f t="shared" si="140"/>
        <v>0</v>
      </c>
      <c r="O223" s="560">
        <f t="shared" si="141"/>
        <v>0</v>
      </c>
      <c r="P223" s="560"/>
      <c r="Q223" s="560">
        <f t="shared" si="142"/>
        <v>0</v>
      </c>
      <c r="R223" s="560"/>
      <c r="S223" s="584">
        <f t="shared" si="130"/>
        <v>0.8396907216494846</v>
      </c>
      <c r="T223" s="584">
        <f t="shared" si="131"/>
        <v>0.8396907216494846</v>
      </c>
      <c r="U223" s="584" t="e">
        <f t="shared" si="132"/>
        <v>#DIV/0!</v>
      </c>
      <c r="V223" s="576"/>
      <c r="W223" s="596"/>
    </row>
    <row r="224" spans="1:23" s="238" customFormat="1" ht="18">
      <c r="A224" s="561" t="s">
        <v>261</v>
      </c>
      <c r="B224" s="574" t="s">
        <v>555</v>
      </c>
      <c r="C224" s="560">
        <f t="shared" si="133"/>
        <v>1000</v>
      </c>
      <c r="D224" s="576">
        <v>1000</v>
      </c>
      <c r="E224" s="576"/>
      <c r="F224" s="560">
        <f t="shared" si="134"/>
        <v>1686.447</v>
      </c>
      <c r="G224" s="560">
        <f t="shared" si="135"/>
        <v>1686.447</v>
      </c>
      <c r="H224" s="560">
        <f t="shared" si="136"/>
        <v>0</v>
      </c>
      <c r="I224" s="560">
        <f t="shared" si="137"/>
        <v>1686.447</v>
      </c>
      <c r="J224" s="560">
        <f t="shared" si="138"/>
        <v>1686.447</v>
      </c>
      <c r="K224" s="560">
        <v>1686.447</v>
      </c>
      <c r="L224" s="560">
        <f t="shared" si="139"/>
        <v>0</v>
      </c>
      <c r="M224" s="576"/>
      <c r="N224" s="560">
        <f t="shared" si="140"/>
        <v>0</v>
      </c>
      <c r="O224" s="560">
        <f t="shared" si="141"/>
        <v>0</v>
      </c>
      <c r="P224" s="560"/>
      <c r="Q224" s="560">
        <f t="shared" si="142"/>
        <v>0</v>
      </c>
      <c r="R224" s="560"/>
      <c r="S224" s="584">
        <f t="shared" si="130"/>
        <v>1.6864469999999998</v>
      </c>
      <c r="T224" s="584">
        <f t="shared" si="131"/>
        <v>1.6864469999999998</v>
      </c>
      <c r="U224" s="584" t="e">
        <f t="shared" si="132"/>
        <v>#DIV/0!</v>
      </c>
      <c r="V224" s="576"/>
      <c r="W224" s="596"/>
    </row>
    <row r="225" spans="1:23" s="238" customFormat="1" ht="18">
      <c r="A225" s="561" t="s">
        <v>262</v>
      </c>
      <c r="B225" s="574" t="s">
        <v>547</v>
      </c>
      <c r="C225" s="560">
        <f t="shared" si="133"/>
        <v>688</v>
      </c>
      <c r="D225" s="576">
        <v>688</v>
      </c>
      <c r="E225" s="576"/>
      <c r="F225" s="560">
        <f t="shared" si="134"/>
        <v>1041.707</v>
      </c>
      <c r="G225" s="560">
        <f t="shared" si="135"/>
        <v>1041.707</v>
      </c>
      <c r="H225" s="560">
        <f t="shared" si="136"/>
        <v>0</v>
      </c>
      <c r="I225" s="560">
        <f t="shared" si="137"/>
        <v>1041.707</v>
      </c>
      <c r="J225" s="560">
        <f t="shared" si="138"/>
        <v>1041.707</v>
      </c>
      <c r="K225" s="576">
        <v>1041.707</v>
      </c>
      <c r="L225" s="560">
        <f t="shared" si="139"/>
        <v>0</v>
      </c>
      <c r="M225" s="576"/>
      <c r="N225" s="560">
        <f t="shared" si="140"/>
        <v>0</v>
      </c>
      <c r="O225" s="560">
        <f t="shared" si="141"/>
        <v>0</v>
      </c>
      <c r="P225" s="560"/>
      <c r="Q225" s="560">
        <f t="shared" si="142"/>
        <v>0</v>
      </c>
      <c r="R225" s="560"/>
      <c r="S225" s="584">
        <f t="shared" si="130"/>
        <v>1.5141090116279072</v>
      </c>
      <c r="T225" s="584">
        <f t="shared" si="131"/>
        <v>1.5141090116279072</v>
      </c>
      <c r="U225" s="584" t="e">
        <f t="shared" si="132"/>
        <v>#DIV/0!</v>
      </c>
      <c r="V225" s="576"/>
      <c r="W225" s="596"/>
    </row>
    <row r="226" spans="1:23" s="238" customFormat="1" ht="18">
      <c r="A226" s="561" t="s">
        <v>263</v>
      </c>
      <c r="B226" s="574" t="s">
        <v>548</v>
      </c>
      <c r="C226" s="560">
        <f t="shared" si="133"/>
        <v>583</v>
      </c>
      <c r="D226" s="576">
        <v>583</v>
      </c>
      <c r="E226" s="576"/>
      <c r="F226" s="560">
        <f t="shared" si="134"/>
        <v>576.575</v>
      </c>
      <c r="G226" s="560">
        <f t="shared" si="135"/>
        <v>576.575</v>
      </c>
      <c r="H226" s="560">
        <f t="shared" si="136"/>
        <v>0</v>
      </c>
      <c r="I226" s="560">
        <f t="shared" si="137"/>
        <v>576.575</v>
      </c>
      <c r="J226" s="560">
        <f t="shared" si="138"/>
        <v>576.575</v>
      </c>
      <c r="K226" s="560">
        <v>576.575</v>
      </c>
      <c r="L226" s="560">
        <f t="shared" si="139"/>
        <v>0</v>
      </c>
      <c r="M226" s="576"/>
      <c r="N226" s="560">
        <f t="shared" si="140"/>
        <v>0</v>
      </c>
      <c r="O226" s="560">
        <f t="shared" si="141"/>
        <v>0</v>
      </c>
      <c r="P226" s="560"/>
      <c r="Q226" s="560">
        <f t="shared" si="142"/>
        <v>0</v>
      </c>
      <c r="R226" s="560"/>
      <c r="S226" s="584">
        <f t="shared" si="130"/>
        <v>0.9889794168096055</v>
      </c>
      <c r="T226" s="584">
        <f t="shared" si="131"/>
        <v>0.9889794168096055</v>
      </c>
      <c r="U226" s="584" t="e">
        <f t="shared" si="132"/>
        <v>#DIV/0!</v>
      </c>
      <c r="V226" s="576"/>
      <c r="W226" s="596"/>
    </row>
    <row r="227" spans="1:23" s="238" customFormat="1" ht="18">
      <c r="A227" s="561" t="s">
        <v>471</v>
      </c>
      <c r="B227" s="574" t="s">
        <v>551</v>
      </c>
      <c r="C227" s="560">
        <f t="shared" si="133"/>
        <v>583</v>
      </c>
      <c r="D227" s="576">
        <v>583</v>
      </c>
      <c r="E227" s="576"/>
      <c r="F227" s="560">
        <f t="shared" si="134"/>
        <v>1440.588</v>
      </c>
      <c r="G227" s="560">
        <f t="shared" si="135"/>
        <v>1440.588</v>
      </c>
      <c r="H227" s="560">
        <f t="shared" si="136"/>
        <v>0</v>
      </c>
      <c r="I227" s="560">
        <f t="shared" si="137"/>
        <v>1440.588</v>
      </c>
      <c r="J227" s="560">
        <f t="shared" si="138"/>
        <v>1440.588</v>
      </c>
      <c r="K227" s="560">
        <v>1440.588</v>
      </c>
      <c r="L227" s="560">
        <f t="shared" si="139"/>
        <v>0</v>
      </c>
      <c r="M227" s="576"/>
      <c r="N227" s="560">
        <f t="shared" si="140"/>
        <v>0</v>
      </c>
      <c r="O227" s="560">
        <f t="shared" si="141"/>
        <v>0</v>
      </c>
      <c r="P227" s="560"/>
      <c r="Q227" s="560">
        <f t="shared" si="142"/>
        <v>0</v>
      </c>
      <c r="R227" s="560"/>
      <c r="S227" s="584">
        <f t="shared" si="130"/>
        <v>2.470991423670669</v>
      </c>
      <c r="T227" s="584">
        <f t="shared" si="131"/>
        <v>2.470991423670669</v>
      </c>
      <c r="U227" s="584" t="e">
        <f t="shared" si="132"/>
        <v>#DIV/0!</v>
      </c>
      <c r="V227" s="576"/>
      <c r="W227" s="596"/>
    </row>
    <row r="228" spans="1:23" s="238" customFormat="1" ht="18">
      <c r="A228" s="561" t="s">
        <v>776</v>
      </c>
      <c r="B228" s="574" t="s">
        <v>583</v>
      </c>
      <c r="C228" s="560">
        <f t="shared" si="133"/>
        <v>583</v>
      </c>
      <c r="D228" s="576">
        <v>583</v>
      </c>
      <c r="E228" s="576"/>
      <c r="F228" s="560">
        <f t="shared" si="134"/>
        <v>572.336</v>
      </c>
      <c r="G228" s="560">
        <f t="shared" si="135"/>
        <v>572.336</v>
      </c>
      <c r="H228" s="560">
        <f t="shared" si="136"/>
        <v>0</v>
      </c>
      <c r="I228" s="560">
        <f t="shared" si="137"/>
        <v>572.336</v>
      </c>
      <c r="J228" s="560">
        <f t="shared" si="138"/>
        <v>572.336</v>
      </c>
      <c r="K228" s="560">
        <v>572.336</v>
      </c>
      <c r="L228" s="560">
        <f t="shared" si="139"/>
        <v>0</v>
      </c>
      <c r="M228" s="576"/>
      <c r="N228" s="560">
        <f t="shared" si="140"/>
        <v>0</v>
      </c>
      <c r="O228" s="560">
        <f t="shared" si="141"/>
        <v>0</v>
      </c>
      <c r="P228" s="560"/>
      <c r="Q228" s="560">
        <f t="shared" si="142"/>
        <v>0</v>
      </c>
      <c r="R228" s="560"/>
      <c r="S228" s="584">
        <f t="shared" si="130"/>
        <v>0.9817084048027445</v>
      </c>
      <c r="T228" s="584">
        <f t="shared" si="131"/>
        <v>0.9817084048027445</v>
      </c>
      <c r="U228" s="584" t="e">
        <f t="shared" si="132"/>
        <v>#DIV/0!</v>
      </c>
      <c r="V228" s="576"/>
      <c r="W228" s="596"/>
    </row>
    <row r="229" spans="1:23" s="238" customFormat="1" ht="18">
      <c r="A229" s="561" t="s">
        <v>584</v>
      </c>
      <c r="B229" s="574" t="s">
        <v>558</v>
      </c>
      <c r="C229" s="560">
        <f>D229+E229</f>
        <v>0</v>
      </c>
      <c r="D229" s="576"/>
      <c r="E229" s="576"/>
      <c r="F229" s="560">
        <f>G229+H229</f>
        <v>140.6</v>
      </c>
      <c r="G229" s="560">
        <f>J229+O229</f>
        <v>140.6</v>
      </c>
      <c r="H229" s="560">
        <f>L229+Q229</f>
        <v>0</v>
      </c>
      <c r="I229" s="560">
        <f>J229+L229</f>
        <v>140.6</v>
      </c>
      <c r="J229" s="560">
        <f>K229</f>
        <v>140.6</v>
      </c>
      <c r="K229" s="560">
        <v>140.6</v>
      </c>
      <c r="L229" s="560">
        <f>M229</f>
        <v>0</v>
      </c>
      <c r="M229" s="576"/>
      <c r="N229" s="560">
        <f>O229+Q229</f>
        <v>0</v>
      </c>
      <c r="O229" s="560">
        <f>P229</f>
        <v>0</v>
      </c>
      <c r="P229" s="560"/>
      <c r="Q229" s="560">
        <f>R229</f>
        <v>0</v>
      </c>
      <c r="R229" s="560"/>
      <c r="S229" s="584" t="e">
        <f aca="true" t="shared" si="147" ref="S229:U231">F229/C229</f>
        <v>#DIV/0!</v>
      </c>
      <c r="T229" s="584" t="e">
        <f t="shared" si="147"/>
        <v>#DIV/0!</v>
      </c>
      <c r="U229" s="584" t="e">
        <f t="shared" si="147"/>
        <v>#DIV/0!</v>
      </c>
      <c r="V229" s="576"/>
      <c r="W229" s="596"/>
    </row>
    <row r="230" spans="1:23" s="238" customFormat="1" ht="18">
      <c r="A230" s="561" t="s">
        <v>786</v>
      </c>
      <c r="B230" s="574" t="s">
        <v>557</v>
      </c>
      <c r="C230" s="560">
        <f>D230+E230</f>
        <v>0</v>
      </c>
      <c r="D230" s="576"/>
      <c r="E230" s="576"/>
      <c r="F230" s="560">
        <f>G230+H230</f>
        <v>541.663</v>
      </c>
      <c r="G230" s="560">
        <f>J230+O230</f>
        <v>541.663</v>
      </c>
      <c r="H230" s="560">
        <f>L230+Q230</f>
        <v>0</v>
      </c>
      <c r="I230" s="560">
        <f>J230+L230</f>
        <v>541.663</v>
      </c>
      <c r="J230" s="560">
        <f>K230</f>
        <v>541.663</v>
      </c>
      <c r="K230" s="560">
        <v>541.663</v>
      </c>
      <c r="L230" s="560">
        <f>M230</f>
        <v>0</v>
      </c>
      <c r="M230" s="576"/>
      <c r="N230" s="560">
        <f>O230+Q230</f>
        <v>0</v>
      </c>
      <c r="O230" s="560">
        <f>P230</f>
        <v>0</v>
      </c>
      <c r="P230" s="560"/>
      <c r="Q230" s="560">
        <f>R230</f>
        <v>0</v>
      </c>
      <c r="R230" s="560"/>
      <c r="S230" s="584" t="e">
        <f t="shared" si="147"/>
        <v>#DIV/0!</v>
      </c>
      <c r="T230" s="584" t="e">
        <f t="shared" si="147"/>
        <v>#DIV/0!</v>
      </c>
      <c r="U230" s="584" t="e">
        <f t="shared" si="147"/>
        <v>#DIV/0!</v>
      </c>
      <c r="V230" s="576"/>
      <c r="W230" s="596"/>
    </row>
    <row r="231" spans="1:23" s="238" customFormat="1" ht="18">
      <c r="A231" s="561" t="s">
        <v>787</v>
      </c>
      <c r="B231" s="574" t="s">
        <v>552</v>
      </c>
      <c r="C231" s="560">
        <f>D231+E231</f>
        <v>0</v>
      </c>
      <c r="D231" s="576"/>
      <c r="E231" s="576"/>
      <c r="F231" s="560">
        <f>G231+H231</f>
        <v>417.428</v>
      </c>
      <c r="G231" s="560">
        <f>J231+O231</f>
        <v>417.428</v>
      </c>
      <c r="H231" s="560">
        <f>L231+Q231</f>
        <v>0</v>
      </c>
      <c r="I231" s="560">
        <f>J231+L231</f>
        <v>417.428</v>
      </c>
      <c r="J231" s="560">
        <f>K231</f>
        <v>417.428</v>
      </c>
      <c r="K231" s="560">
        <v>417.428</v>
      </c>
      <c r="L231" s="560">
        <f>M231</f>
        <v>0</v>
      </c>
      <c r="M231" s="576"/>
      <c r="N231" s="560">
        <f>O231+Q231</f>
        <v>0</v>
      </c>
      <c r="O231" s="560">
        <f>P231</f>
        <v>0</v>
      </c>
      <c r="P231" s="560"/>
      <c r="Q231" s="560">
        <f>R231</f>
        <v>0</v>
      </c>
      <c r="R231" s="560"/>
      <c r="S231" s="584" t="e">
        <f t="shared" si="147"/>
        <v>#DIV/0!</v>
      </c>
      <c r="T231" s="584" t="e">
        <f t="shared" si="147"/>
        <v>#DIV/0!</v>
      </c>
      <c r="U231" s="584" t="e">
        <f t="shared" si="147"/>
        <v>#DIV/0!</v>
      </c>
      <c r="V231" s="576"/>
      <c r="W231" s="596"/>
    </row>
    <row r="232" spans="1:23" s="238" customFormat="1" ht="18">
      <c r="A232" s="561" t="s">
        <v>788</v>
      </c>
      <c r="B232" s="577" t="s">
        <v>779</v>
      </c>
      <c r="C232" s="560">
        <f>D232+E232</f>
        <v>0</v>
      </c>
      <c r="D232" s="576"/>
      <c r="E232" s="576"/>
      <c r="F232" s="560">
        <f>G232+H232</f>
        <v>0</v>
      </c>
      <c r="G232" s="560">
        <f>J232+O232</f>
        <v>0</v>
      </c>
      <c r="H232" s="560">
        <f>L232+Q232</f>
        <v>0</v>
      </c>
      <c r="I232" s="560">
        <f>J232+L232</f>
        <v>0</v>
      </c>
      <c r="J232" s="560">
        <f t="shared" si="138"/>
        <v>0</v>
      </c>
      <c r="K232" s="560"/>
      <c r="L232" s="560">
        <f t="shared" si="139"/>
        <v>0</v>
      </c>
      <c r="M232" s="576"/>
      <c r="N232" s="560">
        <f t="shared" si="140"/>
        <v>0</v>
      </c>
      <c r="O232" s="560">
        <f t="shared" si="141"/>
        <v>0</v>
      </c>
      <c r="P232" s="560"/>
      <c r="Q232" s="560">
        <f t="shared" si="142"/>
        <v>0</v>
      </c>
      <c r="R232" s="560"/>
      <c r="S232" s="584" t="e">
        <f t="shared" si="130"/>
        <v>#DIV/0!</v>
      </c>
      <c r="T232" s="584" t="e">
        <f t="shared" si="131"/>
        <v>#DIV/0!</v>
      </c>
      <c r="U232" s="584" t="e">
        <f t="shared" si="132"/>
        <v>#DIV/0!</v>
      </c>
      <c r="V232" s="576"/>
      <c r="W232" s="596"/>
    </row>
    <row r="233" spans="1:23" s="236" customFormat="1" ht="69.75">
      <c r="A233" s="550">
        <v>4</v>
      </c>
      <c r="B233" s="578" t="s">
        <v>574</v>
      </c>
      <c r="C233" s="553">
        <f>SUM(C234:C235)</f>
        <v>307</v>
      </c>
      <c r="D233" s="553">
        <f aca="true" t="shared" si="148" ref="D233:R233">SUM(D234:D235)</f>
        <v>307</v>
      </c>
      <c r="E233" s="553">
        <f t="shared" si="148"/>
        <v>0</v>
      </c>
      <c r="F233" s="553">
        <f t="shared" si="148"/>
        <v>0</v>
      </c>
      <c r="G233" s="553">
        <f t="shared" si="148"/>
        <v>0</v>
      </c>
      <c r="H233" s="553">
        <f t="shared" si="148"/>
        <v>0</v>
      </c>
      <c r="I233" s="553">
        <f t="shared" si="148"/>
        <v>0</v>
      </c>
      <c r="J233" s="553">
        <f t="shared" si="148"/>
        <v>0</v>
      </c>
      <c r="K233" s="553">
        <f t="shared" si="148"/>
        <v>0</v>
      </c>
      <c r="L233" s="553">
        <f t="shared" si="148"/>
        <v>0</v>
      </c>
      <c r="M233" s="553">
        <f t="shared" si="148"/>
        <v>0</v>
      </c>
      <c r="N233" s="553">
        <f t="shared" si="148"/>
        <v>0</v>
      </c>
      <c r="O233" s="553">
        <f t="shared" si="148"/>
        <v>0</v>
      </c>
      <c r="P233" s="553">
        <f t="shared" si="148"/>
        <v>0</v>
      </c>
      <c r="Q233" s="553">
        <f t="shared" si="148"/>
        <v>0</v>
      </c>
      <c r="R233" s="553">
        <f t="shared" si="148"/>
        <v>0</v>
      </c>
      <c r="S233" s="584">
        <f t="shared" si="130"/>
        <v>0</v>
      </c>
      <c r="T233" s="584">
        <f t="shared" si="131"/>
        <v>0</v>
      </c>
      <c r="U233" s="584" t="e">
        <f t="shared" si="132"/>
        <v>#DIV/0!</v>
      </c>
      <c r="V233" s="579"/>
      <c r="W233" s="597"/>
    </row>
    <row r="234" spans="1:23" s="238" customFormat="1" ht="18">
      <c r="A234" s="561"/>
      <c r="B234" s="574" t="s">
        <v>557</v>
      </c>
      <c r="C234" s="560">
        <f t="shared" si="133"/>
        <v>155</v>
      </c>
      <c r="D234" s="576">
        <v>155</v>
      </c>
      <c r="E234" s="576"/>
      <c r="F234" s="560">
        <f t="shared" si="134"/>
        <v>0</v>
      </c>
      <c r="G234" s="560">
        <f t="shared" si="135"/>
        <v>0</v>
      </c>
      <c r="H234" s="560">
        <f t="shared" si="136"/>
        <v>0</v>
      </c>
      <c r="I234" s="560">
        <f t="shared" si="137"/>
        <v>0</v>
      </c>
      <c r="J234" s="560">
        <f t="shared" si="138"/>
        <v>0</v>
      </c>
      <c r="K234" s="560"/>
      <c r="L234" s="560">
        <f t="shared" si="139"/>
        <v>0</v>
      </c>
      <c r="M234" s="576"/>
      <c r="N234" s="560">
        <f t="shared" si="140"/>
        <v>0</v>
      </c>
      <c r="O234" s="560">
        <f t="shared" si="141"/>
        <v>0</v>
      </c>
      <c r="P234" s="560"/>
      <c r="Q234" s="560">
        <f t="shared" si="142"/>
        <v>0</v>
      </c>
      <c r="R234" s="560"/>
      <c r="S234" s="584">
        <f t="shared" si="130"/>
        <v>0</v>
      </c>
      <c r="T234" s="584">
        <f t="shared" si="131"/>
        <v>0</v>
      </c>
      <c r="U234" s="584" t="e">
        <f t="shared" si="132"/>
        <v>#DIV/0!</v>
      </c>
      <c r="V234" s="576"/>
      <c r="W234" s="596"/>
    </row>
    <row r="235" spans="1:23" s="2" customFormat="1" ht="18">
      <c r="A235" s="580"/>
      <c r="B235" s="581" t="s">
        <v>558</v>
      </c>
      <c r="C235" s="582">
        <f t="shared" si="133"/>
        <v>152</v>
      </c>
      <c r="D235" s="582">
        <v>152</v>
      </c>
      <c r="E235" s="582"/>
      <c r="F235" s="582">
        <f t="shared" si="134"/>
        <v>0</v>
      </c>
      <c r="G235" s="582">
        <f t="shared" si="135"/>
        <v>0</v>
      </c>
      <c r="H235" s="582">
        <f t="shared" si="136"/>
        <v>0</v>
      </c>
      <c r="I235" s="582">
        <f t="shared" si="137"/>
        <v>0</v>
      </c>
      <c r="J235" s="582">
        <f t="shared" si="138"/>
        <v>0</v>
      </c>
      <c r="K235" s="582"/>
      <c r="L235" s="582">
        <f t="shared" si="139"/>
        <v>0</v>
      </c>
      <c r="M235" s="582"/>
      <c r="N235" s="582">
        <f t="shared" si="140"/>
        <v>0</v>
      </c>
      <c r="O235" s="582">
        <f t="shared" si="141"/>
        <v>0</v>
      </c>
      <c r="P235" s="582"/>
      <c r="Q235" s="582">
        <f t="shared" si="142"/>
        <v>0</v>
      </c>
      <c r="R235" s="582"/>
      <c r="S235" s="585">
        <f t="shared" si="130"/>
        <v>0</v>
      </c>
      <c r="T235" s="585">
        <f t="shared" si="131"/>
        <v>0</v>
      </c>
      <c r="U235" s="585" t="e">
        <f t="shared" si="132"/>
        <v>#DIV/0!</v>
      </c>
      <c r="V235" s="582"/>
      <c r="W235" s="590"/>
    </row>
    <row r="236" spans="1:22" ht="18">
      <c r="A236" s="2"/>
      <c r="C236" s="2"/>
      <c r="D236" s="2"/>
      <c r="E236" s="303"/>
      <c r="F236" s="2"/>
      <c r="G236" s="2"/>
      <c r="H236" s="2"/>
      <c r="I236" s="2"/>
      <c r="J236" s="2"/>
      <c r="K236" s="2"/>
      <c r="L236" s="2"/>
      <c r="M236" s="2"/>
      <c r="N236" s="2"/>
      <c r="O236" s="2"/>
      <c r="P236" s="2"/>
      <c r="Q236" s="2"/>
      <c r="R236" s="2"/>
      <c r="S236" s="2"/>
      <c r="T236" s="2"/>
      <c r="U236" s="2"/>
      <c r="V236" s="2"/>
    </row>
    <row r="240" ht="18">
      <c r="D240" s="307"/>
    </row>
    <row r="241" ht="18">
      <c r="D241" s="307"/>
    </row>
    <row r="242" ht="18">
      <c r="D242" s="307"/>
    </row>
    <row r="243" ht="18">
      <c r="D243" s="307"/>
    </row>
    <row r="244" ht="18">
      <c r="D244" s="307"/>
    </row>
  </sheetData>
  <sheetProtection/>
  <mergeCells count="34">
    <mergeCell ref="C7:C10"/>
    <mergeCell ref="V7:V10"/>
    <mergeCell ref="N8:N10"/>
    <mergeCell ref="S7:S10"/>
    <mergeCell ref="U8:U10"/>
    <mergeCell ref="A6:A10"/>
    <mergeCell ref="B6:B10"/>
    <mergeCell ref="G7:H7"/>
    <mergeCell ref="D8:D10"/>
    <mergeCell ref="E8:E10"/>
    <mergeCell ref="O1:U1"/>
    <mergeCell ref="O2:U2"/>
    <mergeCell ref="A3:V3"/>
    <mergeCell ref="A4:V4"/>
    <mergeCell ref="S6:V6"/>
    <mergeCell ref="D7:E7"/>
    <mergeCell ref="L9:L10"/>
    <mergeCell ref="Q8:R8"/>
    <mergeCell ref="N7:R7"/>
    <mergeCell ref="C6:E6"/>
    <mergeCell ref="I8:I10"/>
    <mergeCell ref="F7:F10"/>
    <mergeCell ref="G8:G10"/>
    <mergeCell ref="O9:O10"/>
    <mergeCell ref="J9:J10"/>
    <mergeCell ref="T8:T10"/>
    <mergeCell ref="T7:U7"/>
    <mergeCell ref="L8:M8"/>
    <mergeCell ref="J8:K8"/>
    <mergeCell ref="H8:H10"/>
    <mergeCell ref="F6:R6"/>
    <mergeCell ref="Q9:Q10"/>
    <mergeCell ref="O8:P8"/>
    <mergeCell ref="I7:M7"/>
  </mergeCells>
  <printOptions horizontalCentered="1"/>
  <pageMargins left="0" right="0" top="0.984251968503937" bottom="0.5511811023622047" header="0.1968503937007874" footer="0.1968503937007874"/>
  <pageSetup horizontalDpi="600" verticalDpi="600" orientation="landscape" paperSize="9" scale="54" r:id="rId3"/>
  <legacyDrawing r:id="rId2"/>
</worksheet>
</file>

<file path=xl/worksheets/sheet15.xml><?xml version="1.0" encoding="utf-8"?>
<worksheet xmlns="http://schemas.openxmlformats.org/spreadsheetml/2006/main" xmlns:r="http://schemas.openxmlformats.org/officeDocument/2006/relationships">
  <dimension ref="A1:Y295"/>
  <sheetViews>
    <sheetView zoomScalePageLayoutView="0" workbookViewId="0" topLeftCell="A1">
      <selection activeCell="A4" sqref="A4:X4"/>
    </sheetView>
  </sheetViews>
  <sheetFormatPr defaultColWidth="9.140625" defaultRowHeight="12.75"/>
  <cols>
    <col min="1" max="1" width="4.57421875" style="108" customWidth="1"/>
    <col min="2" max="2" width="23.00390625" style="244" customWidth="1"/>
    <col min="3" max="3" width="8.140625" style="242" customWidth="1"/>
    <col min="4" max="4" width="6.57421875" style="108" customWidth="1"/>
    <col min="5" max="5" width="6.28125" style="108" customWidth="1"/>
    <col min="6" max="6" width="10.00390625" style="108" customWidth="1"/>
    <col min="7" max="7" width="9.140625" style="110" customWidth="1"/>
    <col min="8" max="8" width="8.421875" style="110" customWidth="1"/>
    <col min="9" max="9" width="8.28125" style="110" customWidth="1"/>
    <col min="10" max="10" width="10.57421875" style="110" customWidth="1"/>
    <col min="11" max="11" width="8.00390625" style="110" customWidth="1"/>
    <col min="12" max="12" width="7.28125" style="110" customWidth="1"/>
    <col min="13" max="13" width="12.00390625" style="110" customWidth="1"/>
    <col min="14" max="14" width="5.57421875" style="110" customWidth="1"/>
    <col min="15" max="15" width="8.28125" style="110" customWidth="1"/>
    <col min="16" max="16" width="9.7109375" style="110" customWidth="1"/>
    <col min="17" max="17" width="8.00390625" style="110" customWidth="1"/>
    <col min="18" max="18" width="6.57421875" style="110" customWidth="1"/>
    <col min="19" max="19" width="11.00390625" style="110" customWidth="1"/>
    <col min="20" max="20" width="7.57421875" style="110" customWidth="1"/>
    <col min="21" max="21" width="7.8515625" style="110" customWidth="1"/>
    <col min="22" max="22" width="7.57421875" style="110" customWidth="1"/>
    <col min="23" max="23" width="7.28125" style="110" customWidth="1"/>
    <col min="24" max="24" width="6.8515625" style="110" customWidth="1"/>
    <col min="25" max="25" width="13.28125" style="24" customWidth="1"/>
    <col min="26" max="16384" width="9.140625" style="110" customWidth="1"/>
  </cols>
  <sheetData>
    <row r="1" spans="2:24" ht="12.75">
      <c r="B1" s="243"/>
      <c r="C1" s="241"/>
      <c r="D1" s="109"/>
      <c r="E1" s="109"/>
      <c r="F1" s="109"/>
      <c r="G1" s="9"/>
      <c r="H1" s="9"/>
      <c r="I1" s="9"/>
      <c r="J1" s="9"/>
      <c r="K1" s="9"/>
      <c r="L1" s="9"/>
      <c r="M1" s="9"/>
      <c r="N1" s="9"/>
      <c r="O1" s="9"/>
      <c r="P1" s="9"/>
      <c r="Q1" s="9"/>
      <c r="R1" s="9"/>
      <c r="S1" s="9"/>
      <c r="T1" s="9"/>
      <c r="U1" s="9"/>
      <c r="V1" s="9"/>
      <c r="W1" s="9"/>
      <c r="X1" s="23" t="s">
        <v>210</v>
      </c>
    </row>
    <row r="2" spans="2:24" ht="12.75">
      <c r="B2" s="243"/>
      <c r="C2" s="241"/>
      <c r="D2" s="109"/>
      <c r="E2" s="109"/>
      <c r="F2" s="109"/>
      <c r="G2" s="9"/>
      <c r="H2" s="9"/>
      <c r="I2" s="9"/>
      <c r="J2" s="9"/>
      <c r="K2" s="9"/>
      <c r="L2" s="9"/>
      <c r="M2" s="9"/>
      <c r="N2" s="9"/>
      <c r="O2" s="9"/>
      <c r="P2" s="9"/>
      <c r="Q2" s="9"/>
      <c r="R2" s="9"/>
      <c r="S2" s="9"/>
      <c r="T2" s="9"/>
      <c r="U2" s="9"/>
      <c r="V2" s="9"/>
      <c r="W2" s="109"/>
      <c r="X2" s="482" t="s">
        <v>625</v>
      </c>
    </row>
    <row r="3" spans="1:24" ht="12.75">
      <c r="A3" s="883" t="s">
        <v>885</v>
      </c>
      <c r="B3" s="883"/>
      <c r="C3" s="883"/>
      <c r="D3" s="883"/>
      <c r="E3" s="883"/>
      <c r="F3" s="883"/>
      <c r="G3" s="883"/>
      <c r="H3" s="883"/>
      <c r="I3" s="883"/>
      <c r="J3" s="883"/>
      <c r="K3" s="883"/>
      <c r="L3" s="883"/>
      <c r="M3" s="883"/>
      <c r="N3" s="883"/>
      <c r="O3" s="883"/>
      <c r="P3" s="883"/>
      <c r="Q3" s="883"/>
      <c r="R3" s="883"/>
      <c r="S3" s="883"/>
      <c r="T3" s="883"/>
      <c r="U3" s="883"/>
      <c r="V3" s="883"/>
      <c r="W3" s="883"/>
      <c r="X3" s="883"/>
    </row>
    <row r="4" spans="1:24" ht="12.75">
      <c r="A4" s="884" t="str">
        <f>'bieu 48 '!A4:F4</f>
        <v>(Kèm theo Báo cáo số 627/BC-UBND ngày 10 tháng 7 năm 2024 của UBND huyện Bắc Sơn)</v>
      </c>
      <c r="B4" s="884"/>
      <c r="C4" s="884"/>
      <c r="D4" s="884"/>
      <c r="E4" s="884"/>
      <c r="F4" s="884"/>
      <c r="G4" s="884"/>
      <c r="H4" s="884"/>
      <c r="I4" s="884"/>
      <c r="J4" s="884"/>
      <c r="K4" s="884"/>
      <c r="L4" s="884"/>
      <c r="M4" s="884"/>
      <c r="N4" s="884"/>
      <c r="O4" s="884"/>
      <c r="P4" s="884"/>
      <c r="Q4" s="884"/>
      <c r="R4" s="884"/>
      <c r="S4" s="884"/>
      <c r="T4" s="884"/>
      <c r="U4" s="884"/>
      <c r="V4" s="884"/>
      <c r="W4" s="884"/>
      <c r="X4" s="884"/>
    </row>
    <row r="5" spans="2:24" ht="12.75">
      <c r="B5" s="243"/>
      <c r="C5" s="241"/>
      <c r="D5" s="109"/>
      <c r="E5" s="109"/>
      <c r="F5" s="109"/>
      <c r="G5" s="9"/>
      <c r="H5" s="9"/>
      <c r="I5" s="9"/>
      <c r="J5" s="9"/>
      <c r="K5" s="9"/>
      <c r="L5" s="9"/>
      <c r="M5" s="9"/>
      <c r="N5" s="9"/>
      <c r="O5" s="9"/>
      <c r="P5" s="9"/>
      <c r="Q5" s="9"/>
      <c r="R5" s="9"/>
      <c r="S5" s="9"/>
      <c r="T5" s="9"/>
      <c r="U5" s="9"/>
      <c r="V5" s="885" t="s">
        <v>22</v>
      </c>
      <c r="W5" s="885"/>
      <c r="X5" s="885"/>
    </row>
    <row r="6" spans="1:25" s="208" customFormat="1" ht="14.25" customHeight="1">
      <c r="A6" s="886" t="s">
        <v>23</v>
      </c>
      <c r="B6" s="891" t="s">
        <v>211</v>
      </c>
      <c r="C6" s="892" t="s">
        <v>212</v>
      </c>
      <c r="D6" s="892" t="s">
        <v>213</v>
      </c>
      <c r="E6" s="886" t="s">
        <v>214</v>
      </c>
      <c r="F6" s="886" t="s">
        <v>215</v>
      </c>
      <c r="G6" s="886"/>
      <c r="H6" s="886"/>
      <c r="I6" s="886"/>
      <c r="J6" s="886" t="s">
        <v>633</v>
      </c>
      <c r="K6" s="886"/>
      <c r="L6" s="886"/>
      <c r="M6" s="886" t="s">
        <v>634</v>
      </c>
      <c r="N6" s="886"/>
      <c r="O6" s="886"/>
      <c r="P6" s="886" t="s">
        <v>216</v>
      </c>
      <c r="Q6" s="886"/>
      <c r="R6" s="886"/>
      <c r="S6" s="886" t="s">
        <v>217</v>
      </c>
      <c r="T6" s="886"/>
      <c r="U6" s="886"/>
      <c r="V6" s="886" t="s">
        <v>76</v>
      </c>
      <c r="W6" s="886"/>
      <c r="X6" s="886"/>
      <c r="Y6" s="25"/>
    </row>
    <row r="7" spans="1:25" s="208" customFormat="1" ht="15.75" customHeight="1">
      <c r="A7" s="886"/>
      <c r="B7" s="891"/>
      <c r="C7" s="892"/>
      <c r="D7" s="892"/>
      <c r="E7" s="886"/>
      <c r="F7" s="886" t="s">
        <v>218</v>
      </c>
      <c r="G7" s="886" t="s">
        <v>219</v>
      </c>
      <c r="H7" s="886"/>
      <c r="I7" s="886"/>
      <c r="J7" s="886"/>
      <c r="K7" s="886"/>
      <c r="L7" s="886"/>
      <c r="M7" s="886"/>
      <c r="N7" s="886"/>
      <c r="O7" s="886"/>
      <c r="P7" s="886"/>
      <c r="Q7" s="886"/>
      <c r="R7" s="886"/>
      <c r="S7" s="886"/>
      <c r="T7" s="886"/>
      <c r="U7" s="886"/>
      <c r="V7" s="886"/>
      <c r="W7" s="886"/>
      <c r="X7" s="886"/>
      <c r="Y7" s="25"/>
    </row>
    <row r="8" spans="1:25" s="208" customFormat="1" ht="19.5" customHeight="1">
      <c r="A8" s="886"/>
      <c r="B8" s="891"/>
      <c r="C8" s="892"/>
      <c r="D8" s="892"/>
      <c r="E8" s="886"/>
      <c r="F8" s="886"/>
      <c r="G8" s="886" t="s">
        <v>220</v>
      </c>
      <c r="H8" s="886" t="s">
        <v>221</v>
      </c>
      <c r="I8" s="886"/>
      <c r="J8" s="886" t="s">
        <v>154</v>
      </c>
      <c r="K8" s="886" t="s">
        <v>221</v>
      </c>
      <c r="L8" s="886"/>
      <c r="M8" s="886" t="s">
        <v>154</v>
      </c>
      <c r="N8" s="886" t="s">
        <v>221</v>
      </c>
      <c r="O8" s="886"/>
      <c r="P8" s="886" t="s">
        <v>154</v>
      </c>
      <c r="Q8" s="886" t="s">
        <v>221</v>
      </c>
      <c r="R8" s="886"/>
      <c r="S8" s="886" t="s">
        <v>154</v>
      </c>
      <c r="T8" s="886" t="s">
        <v>221</v>
      </c>
      <c r="U8" s="886"/>
      <c r="V8" s="886" t="s">
        <v>154</v>
      </c>
      <c r="W8" s="887" t="s">
        <v>221</v>
      </c>
      <c r="X8" s="887"/>
      <c r="Y8" s="25"/>
    </row>
    <row r="9" spans="1:25" s="208" customFormat="1" ht="46.5" customHeight="1">
      <c r="A9" s="886"/>
      <c r="B9" s="891"/>
      <c r="C9" s="892"/>
      <c r="D9" s="892"/>
      <c r="E9" s="886"/>
      <c r="F9" s="886"/>
      <c r="G9" s="886"/>
      <c r="H9" s="22" t="s">
        <v>222</v>
      </c>
      <c r="I9" s="22" t="s">
        <v>292</v>
      </c>
      <c r="J9" s="886"/>
      <c r="K9" s="22" t="s">
        <v>222</v>
      </c>
      <c r="L9" s="22" t="str">
        <f>I9</f>
        <v>NSĐP và nguồn khác</v>
      </c>
      <c r="M9" s="886"/>
      <c r="N9" s="22" t="s">
        <v>222</v>
      </c>
      <c r="O9" s="22" t="str">
        <f>L9</f>
        <v>NSĐP và nguồn khác</v>
      </c>
      <c r="P9" s="886"/>
      <c r="Q9" s="22" t="s">
        <v>222</v>
      </c>
      <c r="R9" s="22" t="str">
        <f>O9</f>
        <v>NSĐP và nguồn khác</v>
      </c>
      <c r="S9" s="886"/>
      <c r="T9" s="22" t="s">
        <v>222</v>
      </c>
      <c r="U9" s="22" t="str">
        <f>R9</f>
        <v>NSĐP và nguồn khác</v>
      </c>
      <c r="V9" s="886"/>
      <c r="W9" s="111" t="s">
        <v>222</v>
      </c>
      <c r="X9" s="111" t="str">
        <f>U9</f>
        <v>NSĐP và nguồn khác</v>
      </c>
      <c r="Y9" s="25"/>
    </row>
    <row r="10" spans="1:25" s="485" customFormat="1" ht="20.25" customHeight="1">
      <c r="A10" s="483" t="s">
        <v>30</v>
      </c>
      <c r="B10" s="483" t="s">
        <v>31</v>
      </c>
      <c r="C10" s="483">
        <v>1</v>
      </c>
      <c r="D10" s="483">
        <v>2</v>
      </c>
      <c r="E10" s="483">
        <v>3</v>
      </c>
      <c r="F10" s="483">
        <v>4</v>
      </c>
      <c r="G10" s="483">
        <v>5</v>
      </c>
      <c r="H10" s="483">
        <v>6</v>
      </c>
      <c r="I10" s="483">
        <v>7</v>
      </c>
      <c r="J10" s="483">
        <v>8</v>
      </c>
      <c r="K10" s="483">
        <v>9</v>
      </c>
      <c r="L10" s="483">
        <v>10</v>
      </c>
      <c r="M10" s="483">
        <v>11</v>
      </c>
      <c r="N10" s="483">
        <v>12</v>
      </c>
      <c r="O10" s="483">
        <v>13</v>
      </c>
      <c r="P10" s="483">
        <v>14</v>
      </c>
      <c r="Q10" s="483">
        <v>15</v>
      </c>
      <c r="R10" s="483">
        <v>16</v>
      </c>
      <c r="S10" s="483">
        <v>17</v>
      </c>
      <c r="T10" s="483">
        <v>18</v>
      </c>
      <c r="U10" s="483">
        <v>19</v>
      </c>
      <c r="V10" s="483" t="s">
        <v>488</v>
      </c>
      <c r="W10" s="483" t="s">
        <v>489</v>
      </c>
      <c r="X10" s="483" t="s">
        <v>490</v>
      </c>
      <c r="Y10" s="484"/>
    </row>
    <row r="11" spans="1:25" s="240" customFormat="1" ht="24.75" customHeight="1">
      <c r="A11" s="417"/>
      <c r="B11" s="417" t="s">
        <v>502</v>
      </c>
      <c r="C11" s="417"/>
      <c r="D11" s="417"/>
      <c r="E11" s="417"/>
      <c r="F11" s="417"/>
      <c r="G11" s="418">
        <f>G25</f>
        <v>364688.11</v>
      </c>
      <c r="H11" s="418">
        <f aca="true" t="shared" si="0" ref="H11:X11">H25</f>
        <v>0</v>
      </c>
      <c r="I11" s="418">
        <f t="shared" si="0"/>
        <v>0</v>
      </c>
      <c r="J11" s="418">
        <f t="shared" si="0"/>
        <v>353626.457</v>
      </c>
      <c r="K11" s="418">
        <f t="shared" si="0"/>
        <v>0</v>
      </c>
      <c r="L11" s="418">
        <f t="shared" si="0"/>
        <v>0</v>
      </c>
      <c r="M11" s="418">
        <f t="shared" si="0"/>
        <v>290199.98</v>
      </c>
      <c r="N11" s="418">
        <f t="shared" si="0"/>
        <v>0</v>
      </c>
      <c r="O11" s="418">
        <f t="shared" si="0"/>
        <v>0</v>
      </c>
      <c r="P11" s="418">
        <f t="shared" si="0"/>
        <v>151281.428</v>
      </c>
      <c r="Q11" s="418">
        <f t="shared" si="0"/>
        <v>0</v>
      </c>
      <c r="R11" s="418">
        <f t="shared" si="0"/>
        <v>0</v>
      </c>
      <c r="S11" s="418">
        <f>138433.384+12229.771</f>
        <v>150663.155</v>
      </c>
      <c r="T11" s="418">
        <f t="shared" si="0"/>
        <v>0</v>
      </c>
      <c r="U11" s="418">
        <f t="shared" si="0"/>
        <v>0</v>
      </c>
      <c r="V11" s="418">
        <f t="shared" si="0"/>
        <v>0</v>
      </c>
      <c r="W11" s="418">
        <f t="shared" si="0"/>
        <v>0</v>
      </c>
      <c r="X11" s="418">
        <f t="shared" si="0"/>
        <v>0</v>
      </c>
      <c r="Y11" s="239"/>
    </row>
    <row r="12" spans="1:25" s="240" customFormat="1" ht="45.75">
      <c r="A12" s="419" t="s">
        <v>30</v>
      </c>
      <c r="B12" s="420" t="s">
        <v>503</v>
      </c>
      <c r="C12" s="419"/>
      <c r="D12" s="419"/>
      <c r="E12" s="419"/>
      <c r="F12" s="419"/>
      <c r="G12" s="421"/>
      <c r="H12" s="421"/>
      <c r="I12" s="421"/>
      <c r="J12" s="421"/>
      <c r="K12" s="421"/>
      <c r="L12" s="422"/>
      <c r="M12" s="422"/>
      <c r="N12" s="422"/>
      <c r="O12" s="422"/>
      <c r="P12" s="422"/>
      <c r="Q12" s="422"/>
      <c r="R12" s="422"/>
      <c r="S12" s="422"/>
      <c r="T12" s="422"/>
      <c r="U12" s="422"/>
      <c r="V12" s="422"/>
      <c r="W12" s="422"/>
      <c r="X12" s="422"/>
      <c r="Y12" s="239"/>
    </row>
    <row r="13" spans="1:25" s="240" customFormat="1" ht="18.75" customHeight="1" hidden="1">
      <c r="A13" s="419" t="s">
        <v>504</v>
      </c>
      <c r="B13" s="420" t="s">
        <v>505</v>
      </c>
      <c r="C13" s="419"/>
      <c r="D13" s="419"/>
      <c r="E13" s="419"/>
      <c r="F13" s="419"/>
      <c r="G13" s="421"/>
      <c r="H13" s="421"/>
      <c r="I13" s="421"/>
      <c r="J13" s="421"/>
      <c r="K13" s="421"/>
      <c r="L13" s="422"/>
      <c r="M13" s="422"/>
      <c r="N13" s="422"/>
      <c r="O13" s="422"/>
      <c r="P13" s="422"/>
      <c r="Q13" s="422"/>
      <c r="R13" s="422"/>
      <c r="S13" s="422"/>
      <c r="T13" s="422"/>
      <c r="U13" s="422"/>
      <c r="V13" s="422"/>
      <c r="W13" s="422"/>
      <c r="X13" s="422"/>
      <c r="Y13" s="239"/>
    </row>
    <row r="14" spans="1:25" s="240" customFormat="1" ht="45.75" hidden="1">
      <c r="A14" s="419"/>
      <c r="B14" s="420" t="s">
        <v>506</v>
      </c>
      <c r="C14" s="419"/>
      <c r="D14" s="419"/>
      <c r="E14" s="419"/>
      <c r="F14" s="419"/>
      <c r="G14" s="421"/>
      <c r="H14" s="421"/>
      <c r="I14" s="421"/>
      <c r="J14" s="421"/>
      <c r="K14" s="421"/>
      <c r="L14" s="422"/>
      <c r="M14" s="422"/>
      <c r="N14" s="422"/>
      <c r="O14" s="422"/>
      <c r="P14" s="422"/>
      <c r="Q14" s="422"/>
      <c r="R14" s="422"/>
      <c r="S14" s="422"/>
      <c r="T14" s="422"/>
      <c r="U14" s="422"/>
      <c r="V14" s="422"/>
      <c r="W14" s="422"/>
      <c r="X14" s="422"/>
      <c r="Y14" s="239"/>
    </row>
    <row r="15" spans="1:25" s="240" customFormat="1" ht="11.25" hidden="1">
      <c r="A15" s="419" t="s">
        <v>223</v>
      </c>
      <c r="B15" s="420" t="s">
        <v>507</v>
      </c>
      <c r="C15" s="419"/>
      <c r="D15" s="419"/>
      <c r="E15" s="419"/>
      <c r="F15" s="419"/>
      <c r="G15" s="421"/>
      <c r="H15" s="421"/>
      <c r="I15" s="421"/>
      <c r="J15" s="421"/>
      <c r="K15" s="421"/>
      <c r="L15" s="422"/>
      <c r="M15" s="422"/>
      <c r="N15" s="422"/>
      <c r="O15" s="422"/>
      <c r="P15" s="422"/>
      <c r="Q15" s="422"/>
      <c r="R15" s="422"/>
      <c r="S15" s="422"/>
      <c r="T15" s="422"/>
      <c r="U15" s="422"/>
      <c r="V15" s="422"/>
      <c r="W15" s="422"/>
      <c r="X15" s="422"/>
      <c r="Y15" s="239"/>
    </row>
    <row r="16" spans="1:25" s="240" customFormat="1" ht="22.5" hidden="1">
      <c r="A16" s="419"/>
      <c r="B16" s="420" t="s">
        <v>508</v>
      </c>
      <c r="C16" s="419"/>
      <c r="D16" s="419"/>
      <c r="E16" s="419"/>
      <c r="F16" s="419"/>
      <c r="G16" s="421"/>
      <c r="H16" s="421"/>
      <c r="I16" s="421"/>
      <c r="J16" s="421"/>
      <c r="K16" s="421"/>
      <c r="L16" s="422"/>
      <c r="M16" s="422"/>
      <c r="N16" s="422"/>
      <c r="O16" s="422"/>
      <c r="P16" s="422"/>
      <c r="Q16" s="422"/>
      <c r="R16" s="422"/>
      <c r="S16" s="422"/>
      <c r="T16" s="422"/>
      <c r="U16" s="422"/>
      <c r="V16" s="422"/>
      <c r="W16" s="422"/>
      <c r="X16" s="422"/>
      <c r="Y16" s="239"/>
    </row>
    <row r="17" spans="1:25" s="240" customFormat="1" ht="45.75" hidden="1">
      <c r="A17" s="419" t="s">
        <v>491</v>
      </c>
      <c r="B17" s="420" t="s">
        <v>509</v>
      </c>
      <c r="C17" s="419" t="s">
        <v>245</v>
      </c>
      <c r="D17" s="419" t="s">
        <v>510</v>
      </c>
      <c r="E17" s="419" t="s">
        <v>511</v>
      </c>
      <c r="F17" s="419" t="s">
        <v>512</v>
      </c>
      <c r="G17" s="421"/>
      <c r="H17" s="421"/>
      <c r="I17" s="421"/>
      <c r="J17" s="421"/>
      <c r="K17" s="421"/>
      <c r="L17" s="422"/>
      <c r="M17" s="422"/>
      <c r="N17" s="422"/>
      <c r="O17" s="422"/>
      <c r="P17" s="422"/>
      <c r="Q17" s="422"/>
      <c r="R17" s="422"/>
      <c r="S17" s="422"/>
      <c r="T17" s="422"/>
      <c r="U17" s="422"/>
      <c r="V17" s="422"/>
      <c r="W17" s="422"/>
      <c r="X17" s="422"/>
      <c r="Y17" s="239"/>
    </row>
    <row r="18" spans="1:25" s="240" customFormat="1" ht="11.25" hidden="1">
      <c r="A18" s="419" t="s">
        <v>224</v>
      </c>
      <c r="B18" s="420" t="s">
        <v>513</v>
      </c>
      <c r="C18" s="419"/>
      <c r="D18" s="419"/>
      <c r="E18" s="419"/>
      <c r="F18" s="419"/>
      <c r="G18" s="421"/>
      <c r="H18" s="421"/>
      <c r="I18" s="421"/>
      <c r="J18" s="421"/>
      <c r="K18" s="421"/>
      <c r="L18" s="422"/>
      <c r="M18" s="422"/>
      <c r="N18" s="422"/>
      <c r="O18" s="422"/>
      <c r="P18" s="422"/>
      <c r="Q18" s="422"/>
      <c r="R18" s="422"/>
      <c r="S18" s="422"/>
      <c r="T18" s="422"/>
      <c r="U18" s="422"/>
      <c r="V18" s="422"/>
      <c r="W18" s="422"/>
      <c r="X18" s="422"/>
      <c r="Y18" s="239"/>
    </row>
    <row r="19" spans="1:25" s="240" customFormat="1" ht="45.75" hidden="1">
      <c r="A19" s="419" t="s">
        <v>491</v>
      </c>
      <c r="B19" s="420" t="s">
        <v>514</v>
      </c>
      <c r="C19" s="419" t="s">
        <v>245</v>
      </c>
      <c r="D19" s="419" t="s">
        <v>515</v>
      </c>
      <c r="E19" s="419" t="s">
        <v>492</v>
      </c>
      <c r="F19" s="419" t="s">
        <v>516</v>
      </c>
      <c r="G19" s="421"/>
      <c r="H19" s="421"/>
      <c r="I19" s="421"/>
      <c r="J19" s="421"/>
      <c r="K19" s="421"/>
      <c r="L19" s="422"/>
      <c r="M19" s="422"/>
      <c r="N19" s="422"/>
      <c r="O19" s="422"/>
      <c r="P19" s="422"/>
      <c r="Q19" s="422"/>
      <c r="R19" s="422"/>
      <c r="S19" s="422"/>
      <c r="T19" s="422"/>
      <c r="U19" s="422"/>
      <c r="V19" s="422"/>
      <c r="W19" s="422"/>
      <c r="X19" s="422"/>
      <c r="Y19" s="239"/>
    </row>
    <row r="20" spans="1:25" s="240" customFormat="1" ht="45.75" hidden="1">
      <c r="A20" s="419" t="s">
        <v>15</v>
      </c>
      <c r="B20" s="420" t="s">
        <v>517</v>
      </c>
      <c r="C20" s="419" t="s">
        <v>245</v>
      </c>
      <c r="D20" s="419" t="s">
        <v>515</v>
      </c>
      <c r="E20" s="419" t="s">
        <v>492</v>
      </c>
      <c r="F20" s="419" t="s">
        <v>518</v>
      </c>
      <c r="G20" s="421"/>
      <c r="H20" s="421"/>
      <c r="I20" s="421"/>
      <c r="J20" s="421"/>
      <c r="K20" s="421"/>
      <c r="L20" s="422"/>
      <c r="M20" s="422"/>
      <c r="N20" s="422"/>
      <c r="O20" s="422"/>
      <c r="P20" s="422"/>
      <c r="Q20" s="422"/>
      <c r="R20" s="422"/>
      <c r="S20" s="422"/>
      <c r="T20" s="422"/>
      <c r="U20" s="422"/>
      <c r="V20" s="422"/>
      <c r="W20" s="422"/>
      <c r="X20" s="422"/>
      <c r="Y20" s="239"/>
    </row>
    <row r="21" spans="1:25" s="240" customFormat="1" ht="22.5" hidden="1">
      <c r="A21" s="419" t="s">
        <v>493</v>
      </c>
      <c r="B21" s="420" t="s">
        <v>519</v>
      </c>
      <c r="C21" s="419"/>
      <c r="D21" s="419"/>
      <c r="E21" s="419"/>
      <c r="F21" s="419"/>
      <c r="G21" s="421"/>
      <c r="H21" s="421"/>
      <c r="I21" s="421"/>
      <c r="J21" s="421"/>
      <c r="K21" s="421"/>
      <c r="L21" s="422"/>
      <c r="M21" s="422"/>
      <c r="N21" s="422"/>
      <c r="O21" s="422"/>
      <c r="P21" s="422"/>
      <c r="Q21" s="422"/>
      <c r="R21" s="422"/>
      <c r="S21" s="422"/>
      <c r="T21" s="422"/>
      <c r="U21" s="422"/>
      <c r="V21" s="422"/>
      <c r="W21" s="422"/>
      <c r="X21" s="422"/>
      <c r="Y21" s="239"/>
    </row>
    <row r="22" spans="1:25" s="240" customFormat="1" ht="34.5" hidden="1">
      <c r="A22" s="419" t="s">
        <v>16</v>
      </c>
      <c r="B22" s="420" t="s">
        <v>520</v>
      </c>
      <c r="C22" s="419" t="s">
        <v>245</v>
      </c>
      <c r="D22" s="419" t="s">
        <v>521</v>
      </c>
      <c r="E22" s="419" t="s">
        <v>522</v>
      </c>
      <c r="F22" s="419" t="s">
        <v>523</v>
      </c>
      <c r="G22" s="421"/>
      <c r="H22" s="421"/>
      <c r="I22" s="421"/>
      <c r="J22" s="421"/>
      <c r="K22" s="421"/>
      <c r="L22" s="422"/>
      <c r="M22" s="422"/>
      <c r="N22" s="422"/>
      <c r="O22" s="422"/>
      <c r="P22" s="422"/>
      <c r="Q22" s="422"/>
      <c r="R22" s="422"/>
      <c r="S22" s="422"/>
      <c r="T22" s="422"/>
      <c r="U22" s="422"/>
      <c r="V22" s="422"/>
      <c r="W22" s="422"/>
      <c r="X22" s="422"/>
      <c r="Y22" s="239"/>
    </row>
    <row r="23" spans="1:25" s="240" customFormat="1" ht="34.5" hidden="1">
      <c r="A23" s="419" t="s">
        <v>17</v>
      </c>
      <c r="B23" s="420" t="s">
        <v>524</v>
      </c>
      <c r="C23" s="419" t="s">
        <v>525</v>
      </c>
      <c r="D23" s="419" t="s">
        <v>526</v>
      </c>
      <c r="E23" s="419" t="s">
        <v>527</v>
      </c>
      <c r="F23" s="419" t="s">
        <v>528</v>
      </c>
      <c r="G23" s="421"/>
      <c r="H23" s="421"/>
      <c r="I23" s="421"/>
      <c r="J23" s="421"/>
      <c r="K23" s="421"/>
      <c r="L23" s="422"/>
      <c r="M23" s="422"/>
      <c r="N23" s="422"/>
      <c r="O23" s="422"/>
      <c r="P23" s="422"/>
      <c r="Q23" s="422"/>
      <c r="R23" s="422"/>
      <c r="S23" s="422"/>
      <c r="T23" s="422"/>
      <c r="U23" s="422"/>
      <c r="V23" s="422"/>
      <c r="W23" s="422"/>
      <c r="X23" s="422"/>
      <c r="Y23" s="239"/>
    </row>
    <row r="24" spans="1:25" s="240" customFormat="1" ht="14.25" customHeight="1">
      <c r="A24" s="419" t="s">
        <v>529</v>
      </c>
      <c r="B24" s="420" t="s">
        <v>530</v>
      </c>
      <c r="C24" s="419"/>
      <c r="D24" s="419"/>
      <c r="E24" s="419"/>
      <c r="F24" s="419"/>
      <c r="G24" s="421"/>
      <c r="H24" s="421"/>
      <c r="I24" s="421"/>
      <c r="J24" s="421"/>
      <c r="K24" s="421"/>
      <c r="L24" s="422"/>
      <c r="M24" s="422"/>
      <c r="N24" s="422"/>
      <c r="O24" s="422"/>
      <c r="P24" s="422"/>
      <c r="Q24" s="422"/>
      <c r="R24" s="422"/>
      <c r="S24" s="422"/>
      <c r="T24" s="422"/>
      <c r="U24" s="422"/>
      <c r="V24" s="422"/>
      <c r="W24" s="422"/>
      <c r="X24" s="422"/>
      <c r="Y24" s="239"/>
    </row>
    <row r="25" spans="1:24" ht="12">
      <c r="A25" s="419"/>
      <c r="B25" s="423" t="s">
        <v>720</v>
      </c>
      <c r="C25" s="424"/>
      <c r="D25" s="425"/>
      <c r="E25" s="425"/>
      <c r="F25" s="425"/>
      <c r="G25" s="434">
        <f>+G26+G129+G234</f>
        <v>364688.11</v>
      </c>
      <c r="H25" s="434"/>
      <c r="I25" s="434"/>
      <c r="J25" s="434">
        <f>+J26+J129+J234</f>
        <v>353626.457</v>
      </c>
      <c r="K25" s="434"/>
      <c r="L25" s="434"/>
      <c r="M25" s="434">
        <f>+M26+M129+M234</f>
        <v>290199.98</v>
      </c>
      <c r="N25" s="434"/>
      <c r="O25" s="434"/>
      <c r="P25" s="434">
        <f>+P26+P129+P234</f>
        <v>151281.428</v>
      </c>
      <c r="Q25" s="434"/>
      <c r="R25" s="434"/>
      <c r="S25" s="434">
        <f>+S26+S129+S234</f>
        <v>147741.09900000002</v>
      </c>
      <c r="T25" s="434"/>
      <c r="U25" s="434"/>
      <c r="V25" s="434"/>
      <c r="W25" s="434"/>
      <c r="X25" s="434"/>
    </row>
    <row r="26" spans="1:24" ht="12">
      <c r="A26" s="718" t="s">
        <v>30</v>
      </c>
      <c r="B26" s="719" t="s">
        <v>637</v>
      </c>
      <c r="C26" s="720"/>
      <c r="D26" s="718"/>
      <c r="E26" s="718"/>
      <c r="F26" s="718"/>
      <c r="G26" s="721">
        <f>+G27+G44+G61+G83+G116+G126</f>
        <v>149766.11</v>
      </c>
      <c r="H26" s="721"/>
      <c r="I26" s="721"/>
      <c r="J26" s="721">
        <f>+J27+J44+J61+J83+J116+J126</f>
        <v>169190.96300000002</v>
      </c>
      <c r="K26" s="721"/>
      <c r="L26" s="721"/>
      <c r="M26" s="721">
        <f>+M27+M44+M61+M83+M116+M126</f>
        <v>129239.739</v>
      </c>
      <c r="N26" s="721"/>
      <c r="O26" s="721"/>
      <c r="P26" s="721">
        <f>+P27+P44+P61+P83+P116+P126</f>
        <v>50928.74</v>
      </c>
      <c r="Q26" s="721"/>
      <c r="R26" s="721"/>
      <c r="S26" s="721">
        <f>+S27+S44+S61+S83+S116+S126</f>
        <v>50179.983</v>
      </c>
      <c r="T26" s="721"/>
      <c r="U26" s="721"/>
      <c r="V26" s="721"/>
      <c r="W26" s="721"/>
      <c r="X26" s="721"/>
    </row>
    <row r="27" spans="1:24" ht="12">
      <c r="A27" s="722" t="s">
        <v>491</v>
      </c>
      <c r="B27" s="888" t="s">
        <v>793</v>
      </c>
      <c r="C27" s="889"/>
      <c r="D27" s="889"/>
      <c r="E27" s="889"/>
      <c r="F27" s="890"/>
      <c r="G27" s="723">
        <f>+G29+G38</f>
        <v>34502.11</v>
      </c>
      <c r="H27" s="723"/>
      <c r="I27" s="723"/>
      <c r="J27" s="723">
        <f>+J29+J38</f>
        <v>25483.022</v>
      </c>
      <c r="K27" s="723"/>
      <c r="L27" s="723"/>
      <c r="M27" s="723">
        <f>+M29+M38</f>
        <v>22275.73</v>
      </c>
      <c r="N27" s="723"/>
      <c r="O27" s="723"/>
      <c r="P27" s="723">
        <f>+P29+P38</f>
        <v>9608</v>
      </c>
      <c r="Q27" s="723"/>
      <c r="R27" s="723"/>
      <c r="S27" s="723">
        <f>+S29+S38</f>
        <v>9567</v>
      </c>
      <c r="T27" s="723"/>
      <c r="U27" s="723"/>
      <c r="V27" s="723"/>
      <c r="W27" s="723"/>
      <c r="X27" s="723"/>
    </row>
    <row r="28" spans="1:24" ht="12">
      <c r="A28" s="427"/>
      <c r="B28" s="428" t="s">
        <v>638</v>
      </c>
      <c r="C28" s="424"/>
      <c r="E28" s="425"/>
      <c r="F28" s="425"/>
      <c r="G28" s="434"/>
      <c r="H28" s="434"/>
      <c r="I28" s="434"/>
      <c r="J28" s="429"/>
      <c r="K28" s="434"/>
      <c r="L28" s="434"/>
      <c r="M28" s="429"/>
      <c r="N28" s="434"/>
      <c r="O28" s="434"/>
      <c r="P28" s="434"/>
      <c r="Q28" s="434"/>
      <c r="R28" s="434"/>
      <c r="S28" s="434"/>
      <c r="T28" s="434"/>
      <c r="U28" s="434"/>
      <c r="V28" s="434"/>
      <c r="W28" s="434"/>
      <c r="X28" s="434"/>
    </row>
    <row r="29" spans="1:24" ht="12.75">
      <c r="A29" s="724"/>
      <c r="B29" s="725" t="s">
        <v>794</v>
      </c>
      <c r="C29" s="720"/>
      <c r="D29" s="718"/>
      <c r="E29" s="718"/>
      <c r="F29" s="718"/>
      <c r="G29" s="721">
        <f>+G30</f>
        <v>24650.11</v>
      </c>
      <c r="H29" s="721"/>
      <c r="I29" s="721"/>
      <c r="J29" s="721">
        <f>+J30</f>
        <v>19980.427</v>
      </c>
      <c r="K29" s="721"/>
      <c r="L29" s="721"/>
      <c r="M29" s="721">
        <f>+M30</f>
        <v>18009.3</v>
      </c>
      <c r="N29" s="721"/>
      <c r="O29" s="721"/>
      <c r="P29" s="721">
        <f>+P30</f>
        <v>5892</v>
      </c>
      <c r="Q29" s="721"/>
      <c r="R29" s="721"/>
      <c r="S29" s="721">
        <f>+S30</f>
        <v>5892</v>
      </c>
      <c r="T29" s="721"/>
      <c r="U29" s="721"/>
      <c r="V29" s="721"/>
      <c r="W29" s="721"/>
      <c r="X29" s="721"/>
    </row>
    <row r="30" spans="1:24" ht="22.5">
      <c r="A30" s="718" t="s">
        <v>639</v>
      </c>
      <c r="B30" s="730" t="s">
        <v>640</v>
      </c>
      <c r="C30" s="720"/>
      <c r="D30" s="718"/>
      <c r="E30" s="718"/>
      <c r="F30" s="718"/>
      <c r="G30" s="721">
        <f>+SUM(G31:G37)</f>
        <v>24650.11</v>
      </c>
      <c r="H30" s="721"/>
      <c r="I30" s="721"/>
      <c r="J30" s="721">
        <f>+SUM(J31:J37)</f>
        <v>19980.427</v>
      </c>
      <c r="K30" s="721"/>
      <c r="L30" s="721"/>
      <c r="M30" s="721">
        <f>+SUM(M31:M37)</f>
        <v>18009.3</v>
      </c>
      <c r="N30" s="721"/>
      <c r="O30" s="721"/>
      <c r="P30" s="721">
        <f>+SUM(P31:P37)</f>
        <v>5892</v>
      </c>
      <c r="Q30" s="721"/>
      <c r="R30" s="721"/>
      <c r="S30" s="721">
        <f>+SUM(S31:S37)</f>
        <v>5892</v>
      </c>
      <c r="T30" s="721"/>
      <c r="U30" s="721"/>
      <c r="V30" s="721"/>
      <c r="W30" s="721"/>
      <c r="X30" s="721"/>
    </row>
    <row r="31" spans="1:24" ht="12">
      <c r="A31" s="425">
        <v>1</v>
      </c>
      <c r="B31" s="426" t="s">
        <v>643</v>
      </c>
      <c r="C31" s="424"/>
      <c r="D31" s="425"/>
      <c r="E31" s="425"/>
      <c r="F31" s="425"/>
      <c r="G31" s="434">
        <v>2832</v>
      </c>
      <c r="H31" s="434"/>
      <c r="I31" s="434"/>
      <c r="J31" s="434">
        <v>2619.706</v>
      </c>
      <c r="K31" s="434"/>
      <c r="L31" s="434"/>
      <c r="M31" s="434">
        <v>2269.706</v>
      </c>
      <c r="N31" s="434"/>
      <c r="O31" s="434"/>
      <c r="P31" s="434">
        <v>220</v>
      </c>
      <c r="Q31" s="434"/>
      <c r="R31" s="434"/>
      <c r="S31" s="434">
        <v>220</v>
      </c>
      <c r="T31" s="434"/>
      <c r="U31" s="434"/>
      <c r="V31" s="434"/>
      <c r="W31" s="434"/>
      <c r="X31" s="434"/>
    </row>
    <row r="32" spans="1:24" ht="12">
      <c r="A32" s="425">
        <v>2</v>
      </c>
      <c r="B32" s="426" t="s">
        <v>644</v>
      </c>
      <c r="C32" s="424"/>
      <c r="D32" s="425"/>
      <c r="E32" s="425"/>
      <c r="F32" s="425"/>
      <c r="G32" s="434">
        <v>3562</v>
      </c>
      <c r="H32" s="434"/>
      <c r="I32" s="434"/>
      <c r="J32" s="434">
        <v>3324.072</v>
      </c>
      <c r="K32" s="434"/>
      <c r="L32" s="434"/>
      <c r="M32" s="434">
        <v>3324.072</v>
      </c>
      <c r="N32" s="434"/>
      <c r="O32" s="434"/>
      <c r="P32" s="434">
        <v>803.999</v>
      </c>
      <c r="Q32" s="434"/>
      <c r="R32" s="434"/>
      <c r="S32" s="434">
        <v>803.999</v>
      </c>
      <c r="T32" s="434"/>
      <c r="U32" s="434"/>
      <c r="V32" s="434"/>
      <c r="W32" s="434"/>
      <c r="X32" s="434"/>
    </row>
    <row r="33" spans="1:24" ht="12">
      <c r="A33" s="425">
        <v>3</v>
      </c>
      <c r="B33" s="426" t="s">
        <v>645</v>
      </c>
      <c r="C33" s="424"/>
      <c r="D33" s="425"/>
      <c r="E33" s="425"/>
      <c r="F33" s="425"/>
      <c r="G33" s="434">
        <v>2336</v>
      </c>
      <c r="H33" s="434"/>
      <c r="I33" s="434"/>
      <c r="J33" s="434">
        <v>2161.738</v>
      </c>
      <c r="K33" s="434"/>
      <c r="L33" s="434"/>
      <c r="M33" s="434">
        <v>2336</v>
      </c>
      <c r="N33" s="434"/>
      <c r="O33" s="434"/>
      <c r="P33" s="434">
        <v>561.734</v>
      </c>
      <c r="Q33" s="434"/>
      <c r="R33" s="434"/>
      <c r="S33" s="434">
        <v>561.734</v>
      </c>
      <c r="T33" s="434"/>
      <c r="U33" s="434"/>
      <c r="V33" s="434"/>
      <c r="W33" s="434"/>
      <c r="X33" s="434"/>
    </row>
    <row r="34" spans="1:24" ht="12">
      <c r="A34" s="425">
        <v>4</v>
      </c>
      <c r="B34" s="426" t="s">
        <v>795</v>
      </c>
      <c r="C34" s="424"/>
      <c r="D34" s="425"/>
      <c r="E34" s="425"/>
      <c r="F34" s="425"/>
      <c r="G34" s="434">
        <v>3896.11</v>
      </c>
      <c r="H34" s="434"/>
      <c r="I34" s="434"/>
      <c r="J34" s="434">
        <v>3829.529</v>
      </c>
      <c r="K34" s="434"/>
      <c r="L34" s="434"/>
      <c r="M34" s="434">
        <v>3829.685</v>
      </c>
      <c r="N34" s="434"/>
      <c r="O34" s="434"/>
      <c r="P34" s="434">
        <v>1701.839</v>
      </c>
      <c r="Q34" s="434"/>
      <c r="R34" s="434"/>
      <c r="S34" s="434">
        <v>1701.839</v>
      </c>
      <c r="T34" s="434"/>
      <c r="U34" s="434"/>
      <c r="V34" s="434"/>
      <c r="W34" s="434"/>
      <c r="X34" s="434"/>
    </row>
    <row r="35" spans="1:24" ht="12">
      <c r="A35" s="425">
        <v>5</v>
      </c>
      <c r="B35" s="426" t="s">
        <v>796</v>
      </c>
      <c r="C35" s="424"/>
      <c r="D35" s="425"/>
      <c r="E35" s="425"/>
      <c r="F35" s="425"/>
      <c r="G35" s="434">
        <v>2627</v>
      </c>
      <c r="H35" s="434"/>
      <c r="I35" s="434"/>
      <c r="J35" s="434">
        <v>2582.379</v>
      </c>
      <c r="K35" s="434"/>
      <c r="L35" s="434"/>
      <c r="M35" s="434">
        <v>2530.785</v>
      </c>
      <c r="N35" s="434"/>
      <c r="O35" s="434"/>
      <c r="P35" s="434">
        <v>1428.376</v>
      </c>
      <c r="Q35" s="434"/>
      <c r="R35" s="434"/>
      <c r="S35" s="434">
        <v>1428.376</v>
      </c>
      <c r="T35" s="434"/>
      <c r="U35" s="434"/>
      <c r="V35" s="434"/>
      <c r="W35" s="434"/>
      <c r="X35" s="434"/>
    </row>
    <row r="36" spans="1:24" ht="12">
      <c r="A36" s="425">
        <v>6</v>
      </c>
      <c r="B36" s="426" t="s">
        <v>647</v>
      </c>
      <c r="C36" s="424"/>
      <c r="D36" s="425"/>
      <c r="E36" s="425"/>
      <c r="F36" s="425"/>
      <c r="G36" s="434">
        <v>4070</v>
      </c>
      <c r="H36" s="434"/>
      <c r="I36" s="434"/>
      <c r="J36" s="434">
        <v>3757.147</v>
      </c>
      <c r="K36" s="434"/>
      <c r="L36" s="434"/>
      <c r="M36" s="434">
        <v>2026.052</v>
      </c>
      <c r="N36" s="434"/>
      <c r="O36" s="434"/>
      <c r="P36" s="434">
        <v>676.052</v>
      </c>
      <c r="Q36" s="434"/>
      <c r="R36" s="434"/>
      <c r="S36" s="434">
        <v>676.052</v>
      </c>
      <c r="T36" s="434"/>
      <c r="U36" s="434"/>
      <c r="V36" s="434"/>
      <c r="W36" s="434"/>
      <c r="X36" s="434"/>
    </row>
    <row r="37" spans="1:24" ht="12">
      <c r="A37" s="425">
        <v>7</v>
      </c>
      <c r="B37" s="426" t="s">
        <v>648</v>
      </c>
      <c r="C37" s="424"/>
      <c r="D37" s="425"/>
      <c r="E37" s="425"/>
      <c r="F37" s="425"/>
      <c r="G37" s="434">
        <v>5327</v>
      </c>
      <c r="H37" s="434"/>
      <c r="I37" s="434"/>
      <c r="J37" s="434">
        <v>1705.856</v>
      </c>
      <c r="K37" s="434"/>
      <c r="L37" s="434"/>
      <c r="M37" s="434">
        <v>1693</v>
      </c>
      <c r="N37" s="434"/>
      <c r="O37" s="434"/>
      <c r="P37" s="434">
        <v>500</v>
      </c>
      <c r="Q37" s="434"/>
      <c r="R37" s="434"/>
      <c r="S37" s="434">
        <v>500</v>
      </c>
      <c r="T37" s="434"/>
      <c r="U37" s="434"/>
      <c r="V37" s="434"/>
      <c r="W37" s="434"/>
      <c r="X37" s="434"/>
    </row>
    <row r="38" spans="1:24" ht="12.75">
      <c r="A38" s="724"/>
      <c r="B38" s="725" t="s">
        <v>646</v>
      </c>
      <c r="C38" s="726"/>
      <c r="D38" s="724"/>
      <c r="E38" s="724"/>
      <c r="F38" s="724"/>
      <c r="G38" s="727">
        <f>+G39+G42</f>
        <v>9852</v>
      </c>
      <c r="H38" s="727"/>
      <c r="I38" s="727"/>
      <c r="J38" s="727">
        <f>+J39+J42</f>
        <v>5502.595</v>
      </c>
      <c r="K38" s="727"/>
      <c r="L38" s="727"/>
      <c r="M38" s="727">
        <f>+M39+M42</f>
        <v>4266.43</v>
      </c>
      <c r="N38" s="727"/>
      <c r="O38" s="727"/>
      <c r="P38" s="727">
        <f>+P39+P42</f>
        <v>3716</v>
      </c>
      <c r="Q38" s="727"/>
      <c r="R38" s="727"/>
      <c r="S38" s="727">
        <f>+S39+S42</f>
        <v>3675</v>
      </c>
      <c r="T38" s="727"/>
      <c r="U38" s="727"/>
      <c r="V38" s="727"/>
      <c r="W38" s="727"/>
      <c r="X38" s="727"/>
    </row>
    <row r="39" spans="1:24" ht="12">
      <c r="A39" s="425" t="s">
        <v>639</v>
      </c>
      <c r="B39" s="426" t="s">
        <v>640</v>
      </c>
      <c r="C39" s="424"/>
      <c r="D39" s="425"/>
      <c r="E39" s="425"/>
      <c r="F39" s="425"/>
      <c r="G39" s="434">
        <f>+SUM(G40:G41)</f>
        <v>7300</v>
      </c>
      <c r="H39" s="434"/>
      <c r="I39" s="434"/>
      <c r="J39" s="434">
        <f>+SUM(J40:J41)</f>
        <v>2991.5950000000003</v>
      </c>
      <c r="K39" s="434"/>
      <c r="L39" s="434"/>
      <c r="M39" s="434">
        <f>+SUM(M40:M41)</f>
        <v>1714.4299999999998</v>
      </c>
      <c r="N39" s="434"/>
      <c r="O39" s="434"/>
      <c r="P39" s="434">
        <f>+SUM(P40:P41)</f>
        <v>1164</v>
      </c>
      <c r="Q39" s="434"/>
      <c r="R39" s="434"/>
      <c r="S39" s="434">
        <f>+SUM(S40:S41)</f>
        <v>1164</v>
      </c>
      <c r="T39" s="434"/>
      <c r="U39" s="434"/>
      <c r="V39" s="434"/>
      <c r="W39" s="434"/>
      <c r="X39" s="434"/>
    </row>
    <row r="40" spans="1:24" ht="12">
      <c r="A40" s="425">
        <v>1</v>
      </c>
      <c r="B40" s="426" t="s">
        <v>641</v>
      </c>
      <c r="C40" s="424"/>
      <c r="D40" s="425"/>
      <c r="E40" s="425"/>
      <c r="F40" s="425"/>
      <c r="G40" s="434">
        <v>5200</v>
      </c>
      <c r="H40" s="434"/>
      <c r="I40" s="434"/>
      <c r="J40" s="434">
        <v>1003.012</v>
      </c>
      <c r="K40" s="434"/>
      <c r="L40" s="434"/>
      <c r="M40" s="434">
        <v>800</v>
      </c>
      <c r="N40" s="434"/>
      <c r="O40" s="434"/>
      <c r="P40" s="434">
        <v>700</v>
      </c>
      <c r="Q40" s="434"/>
      <c r="R40" s="434"/>
      <c r="S40" s="434">
        <v>700</v>
      </c>
      <c r="T40" s="434"/>
      <c r="U40" s="434"/>
      <c r="V40" s="434"/>
      <c r="W40" s="434"/>
      <c r="X40" s="434"/>
    </row>
    <row r="41" spans="1:24" ht="12">
      <c r="A41" s="425">
        <v>2</v>
      </c>
      <c r="B41" s="426" t="s">
        <v>642</v>
      </c>
      <c r="C41" s="424"/>
      <c r="D41" s="425"/>
      <c r="E41" s="425"/>
      <c r="F41" s="425"/>
      <c r="G41" s="434">
        <v>2100</v>
      </c>
      <c r="H41" s="434"/>
      <c r="I41" s="434"/>
      <c r="J41" s="434">
        <v>1988.583</v>
      </c>
      <c r="K41" s="434"/>
      <c r="L41" s="434"/>
      <c r="M41" s="434">
        <v>914.43</v>
      </c>
      <c r="N41" s="434"/>
      <c r="O41" s="434"/>
      <c r="P41" s="434">
        <v>464</v>
      </c>
      <c r="Q41" s="434"/>
      <c r="R41" s="434"/>
      <c r="S41" s="434">
        <v>464</v>
      </c>
      <c r="T41" s="434"/>
      <c r="U41" s="434"/>
      <c r="V41" s="434"/>
      <c r="W41" s="434"/>
      <c r="X41" s="434"/>
    </row>
    <row r="42" spans="1:24" ht="12">
      <c r="A42" s="425" t="s">
        <v>649</v>
      </c>
      <c r="B42" s="433" t="s">
        <v>297</v>
      </c>
      <c r="C42" s="424"/>
      <c r="D42" s="425"/>
      <c r="E42" s="425"/>
      <c r="F42" s="425"/>
      <c r="G42" s="434">
        <f>+G43</f>
        <v>2552</v>
      </c>
      <c r="H42" s="434"/>
      <c r="I42" s="434"/>
      <c r="J42" s="434">
        <f>+J43</f>
        <v>2511</v>
      </c>
      <c r="K42" s="434"/>
      <c r="L42" s="434"/>
      <c r="M42" s="434">
        <f>+M43</f>
        <v>2552</v>
      </c>
      <c r="N42" s="434"/>
      <c r="O42" s="434"/>
      <c r="P42" s="434">
        <f>+P43</f>
        <v>2552</v>
      </c>
      <c r="Q42" s="434"/>
      <c r="R42" s="434"/>
      <c r="S42" s="434">
        <f>+S43</f>
        <v>2511</v>
      </c>
      <c r="T42" s="434"/>
      <c r="U42" s="434"/>
      <c r="V42" s="434"/>
      <c r="W42" s="434"/>
      <c r="X42" s="434"/>
    </row>
    <row r="43" spans="1:24" ht="12">
      <c r="A43" s="425">
        <v>1</v>
      </c>
      <c r="B43" s="426" t="s">
        <v>650</v>
      </c>
      <c r="C43" s="424"/>
      <c r="D43" s="425"/>
      <c r="E43" s="425"/>
      <c r="F43" s="425"/>
      <c r="G43" s="434">
        <v>2552</v>
      </c>
      <c r="H43" s="434"/>
      <c r="I43" s="434"/>
      <c r="J43" s="434">
        <v>2511</v>
      </c>
      <c r="K43" s="434"/>
      <c r="L43" s="434"/>
      <c r="M43" s="434">
        <v>2552</v>
      </c>
      <c r="N43" s="434"/>
      <c r="O43" s="434"/>
      <c r="P43" s="434">
        <v>2552</v>
      </c>
      <c r="Q43" s="434"/>
      <c r="R43" s="434"/>
      <c r="S43" s="434">
        <v>2511</v>
      </c>
      <c r="T43" s="434"/>
      <c r="U43" s="434"/>
      <c r="V43" s="434"/>
      <c r="W43" s="434"/>
      <c r="X43" s="434"/>
    </row>
    <row r="44" spans="1:24" ht="12">
      <c r="A44" s="427" t="s">
        <v>15</v>
      </c>
      <c r="B44" s="428" t="s">
        <v>651</v>
      </c>
      <c r="C44" s="424"/>
      <c r="D44" s="425"/>
      <c r="E44" s="425"/>
      <c r="F44" s="425"/>
      <c r="G44" s="429">
        <f>+G47+G51</f>
        <v>39717</v>
      </c>
      <c r="H44" s="434"/>
      <c r="I44" s="434"/>
      <c r="J44" s="429">
        <f>+J47+J51</f>
        <v>22351.57</v>
      </c>
      <c r="K44" s="429"/>
      <c r="L44" s="429"/>
      <c r="M44" s="429">
        <f>+M47+M51</f>
        <v>12496.43</v>
      </c>
      <c r="N44" s="429"/>
      <c r="O44" s="429"/>
      <c r="P44" s="429">
        <f>+P47+P51</f>
        <v>4500</v>
      </c>
      <c r="Q44" s="429"/>
      <c r="R44" s="429"/>
      <c r="S44" s="429">
        <f>+S47+S51</f>
        <v>4500</v>
      </c>
      <c r="T44" s="434"/>
      <c r="U44" s="434"/>
      <c r="V44" s="434"/>
      <c r="W44" s="434"/>
      <c r="X44" s="434"/>
    </row>
    <row r="45" spans="1:24" ht="12">
      <c r="A45" s="427"/>
      <c r="B45" s="428" t="s">
        <v>638</v>
      </c>
      <c r="C45" s="424"/>
      <c r="D45" s="425"/>
      <c r="E45" s="425"/>
      <c r="F45" s="425"/>
      <c r="G45" s="434"/>
      <c r="H45" s="434"/>
      <c r="I45" s="434"/>
      <c r="J45" s="429"/>
      <c r="K45" s="434"/>
      <c r="L45" s="434"/>
      <c r="M45" s="429"/>
      <c r="N45" s="434"/>
      <c r="O45" s="434"/>
      <c r="P45" s="434"/>
      <c r="Q45" s="434"/>
      <c r="R45" s="434"/>
      <c r="S45" s="434"/>
      <c r="T45" s="434"/>
      <c r="U45" s="434"/>
      <c r="V45" s="434"/>
      <c r="W45" s="434"/>
      <c r="X45" s="434"/>
    </row>
    <row r="46" spans="1:24" ht="12">
      <c r="A46" s="425"/>
      <c r="B46" s="426" t="s">
        <v>652</v>
      </c>
      <c r="C46" s="424"/>
      <c r="D46" s="425"/>
      <c r="E46" s="425"/>
      <c r="F46" s="425"/>
      <c r="G46" s="434"/>
      <c r="H46" s="434"/>
      <c r="I46" s="434"/>
      <c r="J46" s="434"/>
      <c r="K46" s="434"/>
      <c r="L46" s="434"/>
      <c r="M46" s="434"/>
      <c r="N46" s="434"/>
      <c r="O46" s="434"/>
      <c r="P46" s="434"/>
      <c r="Q46" s="434"/>
      <c r="R46" s="434"/>
      <c r="S46" s="434"/>
      <c r="T46" s="434"/>
      <c r="U46" s="434"/>
      <c r="V46" s="434"/>
      <c r="W46" s="434"/>
      <c r="X46" s="434"/>
    </row>
    <row r="47" spans="1:24" ht="12">
      <c r="A47" s="425" t="s">
        <v>639</v>
      </c>
      <c r="B47" s="433" t="s">
        <v>0</v>
      </c>
      <c r="C47" s="424"/>
      <c r="D47" s="425"/>
      <c r="E47" s="425"/>
      <c r="F47" s="425"/>
      <c r="G47" s="434">
        <f>+G48+G49</f>
        <v>5450</v>
      </c>
      <c r="H47" s="434"/>
      <c r="I47" s="434"/>
      <c r="J47" s="434">
        <f>+J48+J49</f>
        <v>4566</v>
      </c>
      <c r="K47" s="434"/>
      <c r="L47" s="434"/>
      <c r="M47" s="434">
        <f>+M48+M49</f>
        <v>3015</v>
      </c>
      <c r="N47" s="434"/>
      <c r="O47" s="434"/>
      <c r="P47" s="434">
        <f>+P48+P49</f>
        <v>500</v>
      </c>
      <c r="Q47" s="434"/>
      <c r="R47" s="434"/>
      <c r="S47" s="434">
        <f>+S48+S49</f>
        <v>500</v>
      </c>
      <c r="T47" s="434"/>
      <c r="U47" s="434"/>
      <c r="V47" s="434"/>
      <c r="W47" s="434"/>
      <c r="X47" s="434"/>
    </row>
    <row r="48" spans="1:24" ht="12">
      <c r="A48" s="425">
        <v>1</v>
      </c>
      <c r="B48" s="426" t="s">
        <v>653</v>
      </c>
      <c r="C48" s="424"/>
      <c r="D48" s="425"/>
      <c r="E48" s="425"/>
      <c r="F48" s="425"/>
      <c r="G48" s="434">
        <v>5200</v>
      </c>
      <c r="H48" s="434"/>
      <c r="I48" s="434"/>
      <c r="J48" s="434">
        <v>3476</v>
      </c>
      <c r="K48" s="434"/>
      <c r="L48" s="434"/>
      <c r="M48" s="434">
        <v>2915</v>
      </c>
      <c r="N48" s="434"/>
      <c r="O48" s="434"/>
      <c r="P48" s="434">
        <v>400</v>
      </c>
      <c r="Q48" s="434"/>
      <c r="R48" s="434"/>
      <c r="S48" s="434">
        <v>400</v>
      </c>
      <c r="T48" s="434"/>
      <c r="U48" s="434"/>
      <c r="V48" s="434"/>
      <c r="W48" s="434"/>
      <c r="X48" s="434"/>
    </row>
    <row r="49" spans="1:24" ht="12">
      <c r="A49" s="425">
        <v>2</v>
      </c>
      <c r="B49" s="426" t="s">
        <v>797</v>
      </c>
      <c r="C49" s="424"/>
      <c r="D49" s="425"/>
      <c r="E49" s="425"/>
      <c r="F49" s="425"/>
      <c r="G49" s="434">
        <v>250</v>
      </c>
      <c r="H49" s="434"/>
      <c r="I49" s="434"/>
      <c r="J49" s="434">
        <v>1090</v>
      </c>
      <c r="K49" s="434"/>
      <c r="L49" s="434"/>
      <c r="M49" s="434">
        <v>100</v>
      </c>
      <c r="N49" s="434"/>
      <c r="O49" s="434"/>
      <c r="P49" s="434">
        <v>100</v>
      </c>
      <c r="Q49" s="434"/>
      <c r="R49" s="434"/>
      <c r="S49" s="434">
        <v>100</v>
      </c>
      <c r="T49" s="434"/>
      <c r="U49" s="434"/>
      <c r="V49" s="434"/>
      <c r="W49" s="434"/>
      <c r="X49" s="434"/>
    </row>
    <row r="50" spans="1:24" ht="12">
      <c r="A50" s="425"/>
      <c r="B50" s="426" t="s">
        <v>654</v>
      </c>
      <c r="C50" s="424"/>
      <c r="D50" s="425"/>
      <c r="E50" s="425"/>
      <c r="F50" s="425"/>
      <c r="G50" s="434"/>
      <c r="H50" s="434"/>
      <c r="I50" s="434"/>
      <c r="J50" s="434"/>
      <c r="K50" s="434"/>
      <c r="L50" s="434"/>
      <c r="M50" s="434"/>
      <c r="N50" s="434"/>
      <c r="O50" s="434"/>
      <c r="P50" s="434"/>
      <c r="Q50" s="434"/>
      <c r="R50" s="434"/>
      <c r="S50" s="434"/>
      <c r="T50" s="434"/>
      <c r="U50" s="434"/>
      <c r="V50" s="434"/>
      <c r="W50" s="434"/>
      <c r="X50" s="434"/>
    </row>
    <row r="51" spans="1:24" ht="12">
      <c r="A51" s="425" t="s">
        <v>639</v>
      </c>
      <c r="B51" s="426" t="s">
        <v>640</v>
      </c>
      <c r="C51" s="424"/>
      <c r="D51" s="425"/>
      <c r="E51" s="425"/>
      <c r="F51" s="425"/>
      <c r="G51" s="434">
        <f>+SUM(G52:G60)</f>
        <v>34267</v>
      </c>
      <c r="H51" s="434"/>
      <c r="I51" s="434"/>
      <c r="J51" s="434">
        <f>+SUM(J52:J60)</f>
        <v>17785.57</v>
      </c>
      <c r="K51" s="434"/>
      <c r="L51" s="434"/>
      <c r="M51" s="434">
        <f>+SUM(M52:M60)</f>
        <v>9481.43</v>
      </c>
      <c r="N51" s="434"/>
      <c r="O51" s="434"/>
      <c r="P51" s="434">
        <f>+SUM(P52:P60)</f>
        <v>4000</v>
      </c>
      <c r="Q51" s="434"/>
      <c r="R51" s="434"/>
      <c r="S51" s="434">
        <f>+SUM(S52:S60)</f>
        <v>4000</v>
      </c>
      <c r="T51" s="434"/>
      <c r="U51" s="434"/>
      <c r="V51" s="434"/>
      <c r="W51" s="434"/>
      <c r="X51" s="434"/>
    </row>
    <row r="52" spans="1:24" ht="12">
      <c r="A52" s="425">
        <v>1</v>
      </c>
      <c r="B52" s="426" t="s">
        <v>798</v>
      </c>
      <c r="C52" s="424"/>
      <c r="D52" s="425"/>
      <c r="E52" s="425"/>
      <c r="F52" s="425"/>
      <c r="G52" s="434">
        <v>670</v>
      </c>
      <c r="H52" s="434"/>
      <c r="I52" s="434"/>
      <c r="J52" s="434">
        <v>661.122</v>
      </c>
      <c r="K52" s="434"/>
      <c r="L52" s="434"/>
      <c r="M52" s="434">
        <v>661.122</v>
      </c>
      <c r="N52" s="434"/>
      <c r="O52" s="434"/>
      <c r="P52" s="434">
        <v>1.122</v>
      </c>
      <c r="Q52" s="434"/>
      <c r="R52" s="434"/>
      <c r="S52" s="434">
        <v>1.122</v>
      </c>
      <c r="T52" s="434"/>
      <c r="U52" s="434"/>
      <c r="V52" s="434"/>
      <c r="W52" s="434"/>
      <c r="X52" s="434"/>
    </row>
    <row r="53" spans="1:24" ht="12">
      <c r="A53" s="425">
        <v>2</v>
      </c>
      <c r="B53" s="426" t="s">
        <v>799</v>
      </c>
      <c r="C53" s="424"/>
      <c r="D53" s="425"/>
      <c r="E53" s="425"/>
      <c r="F53" s="425"/>
      <c r="G53" s="434">
        <v>4070</v>
      </c>
      <c r="H53" s="434"/>
      <c r="I53" s="434"/>
      <c r="J53" s="434">
        <v>3757.147</v>
      </c>
      <c r="K53" s="434"/>
      <c r="L53" s="434"/>
      <c r="M53" s="434">
        <v>1864</v>
      </c>
      <c r="N53" s="434"/>
      <c r="O53" s="434"/>
      <c r="P53" s="434">
        <v>450</v>
      </c>
      <c r="Q53" s="434"/>
      <c r="R53" s="434"/>
      <c r="S53" s="434">
        <v>450</v>
      </c>
      <c r="T53" s="434"/>
      <c r="U53" s="434"/>
      <c r="V53" s="434"/>
      <c r="W53" s="434"/>
      <c r="X53" s="434"/>
    </row>
    <row r="54" spans="1:24" ht="12">
      <c r="A54" s="425">
        <v>3</v>
      </c>
      <c r="B54" s="426" t="s">
        <v>800</v>
      </c>
      <c r="C54" s="424"/>
      <c r="D54" s="425"/>
      <c r="E54" s="425"/>
      <c r="F54" s="425"/>
      <c r="G54" s="434">
        <v>5327</v>
      </c>
      <c r="H54" s="434"/>
      <c r="I54" s="434"/>
      <c r="J54" s="434">
        <v>4240.496</v>
      </c>
      <c r="K54" s="434"/>
      <c r="L54" s="434"/>
      <c r="M54" s="434">
        <v>2133</v>
      </c>
      <c r="N54" s="434"/>
      <c r="O54" s="434"/>
      <c r="P54" s="434">
        <v>440</v>
      </c>
      <c r="Q54" s="434"/>
      <c r="R54" s="434"/>
      <c r="S54" s="434">
        <v>440</v>
      </c>
      <c r="T54" s="434"/>
      <c r="U54" s="434"/>
      <c r="V54" s="434"/>
      <c r="W54" s="434"/>
      <c r="X54" s="434"/>
    </row>
    <row r="55" spans="1:24" ht="12">
      <c r="A55" s="425">
        <v>4</v>
      </c>
      <c r="B55" s="426" t="s">
        <v>642</v>
      </c>
      <c r="C55" s="424"/>
      <c r="D55" s="425"/>
      <c r="E55" s="425"/>
      <c r="F55" s="425"/>
      <c r="G55" s="434">
        <v>2100</v>
      </c>
      <c r="H55" s="434"/>
      <c r="I55" s="434"/>
      <c r="J55" s="434">
        <v>1988.583</v>
      </c>
      <c r="K55" s="434"/>
      <c r="L55" s="434"/>
      <c r="M55" s="434">
        <v>1014.43</v>
      </c>
      <c r="N55" s="434"/>
      <c r="O55" s="434"/>
      <c r="P55" s="434">
        <v>100</v>
      </c>
      <c r="Q55" s="434"/>
      <c r="R55" s="434"/>
      <c r="S55" s="434">
        <v>100</v>
      </c>
      <c r="T55" s="434"/>
      <c r="U55" s="434"/>
      <c r="V55" s="434"/>
      <c r="W55" s="434"/>
      <c r="X55" s="434"/>
    </row>
    <row r="56" spans="1:24" ht="12">
      <c r="A56" s="425">
        <v>5</v>
      </c>
      <c r="B56" s="426" t="s">
        <v>801</v>
      </c>
      <c r="C56" s="424"/>
      <c r="D56" s="425"/>
      <c r="E56" s="425"/>
      <c r="F56" s="425"/>
      <c r="G56" s="434">
        <v>5200</v>
      </c>
      <c r="H56" s="434"/>
      <c r="I56" s="434"/>
      <c r="J56" s="434">
        <v>1412.377</v>
      </c>
      <c r="K56" s="434"/>
      <c r="L56" s="434"/>
      <c r="M56" s="434">
        <v>1208.878</v>
      </c>
      <c r="N56" s="434"/>
      <c r="O56" s="434"/>
      <c r="P56" s="434">
        <v>408.878</v>
      </c>
      <c r="Q56" s="434"/>
      <c r="R56" s="434"/>
      <c r="S56" s="434">
        <v>408.878</v>
      </c>
      <c r="T56" s="434"/>
      <c r="U56" s="434"/>
      <c r="V56" s="434"/>
      <c r="W56" s="434"/>
      <c r="X56" s="434"/>
    </row>
    <row r="57" spans="1:24" ht="12">
      <c r="A57" s="425">
        <v>6</v>
      </c>
      <c r="B57" s="426" t="s">
        <v>802</v>
      </c>
      <c r="C57" s="424"/>
      <c r="D57" s="425"/>
      <c r="E57" s="425"/>
      <c r="F57" s="425"/>
      <c r="G57" s="434">
        <v>7450</v>
      </c>
      <c r="H57" s="434"/>
      <c r="I57" s="434"/>
      <c r="J57" s="434">
        <v>1726.891</v>
      </c>
      <c r="K57" s="434"/>
      <c r="L57" s="434"/>
      <c r="M57" s="434">
        <v>1000</v>
      </c>
      <c r="N57" s="434"/>
      <c r="O57" s="434"/>
      <c r="P57" s="434">
        <v>1000</v>
      </c>
      <c r="Q57" s="434"/>
      <c r="R57" s="434"/>
      <c r="S57" s="434">
        <v>1000</v>
      </c>
      <c r="T57" s="434"/>
      <c r="U57" s="434"/>
      <c r="V57" s="434"/>
      <c r="W57" s="434"/>
      <c r="X57" s="434"/>
    </row>
    <row r="58" spans="1:24" ht="12">
      <c r="A58" s="425">
        <v>7</v>
      </c>
      <c r="B58" s="426" t="s">
        <v>803</v>
      </c>
      <c r="C58" s="424"/>
      <c r="D58" s="425"/>
      <c r="E58" s="425"/>
      <c r="F58" s="425"/>
      <c r="G58" s="434">
        <v>4450</v>
      </c>
      <c r="H58" s="434"/>
      <c r="I58" s="434"/>
      <c r="J58" s="434">
        <v>3198.954</v>
      </c>
      <c r="K58" s="434"/>
      <c r="L58" s="434"/>
      <c r="M58" s="434">
        <v>800</v>
      </c>
      <c r="N58" s="434"/>
      <c r="O58" s="434"/>
      <c r="P58" s="434">
        <v>800</v>
      </c>
      <c r="Q58" s="434"/>
      <c r="R58" s="434"/>
      <c r="S58" s="434">
        <v>800</v>
      </c>
      <c r="T58" s="434"/>
      <c r="U58" s="434"/>
      <c r="V58" s="434"/>
      <c r="W58" s="434"/>
      <c r="X58" s="434"/>
    </row>
    <row r="59" spans="1:24" ht="12">
      <c r="A59" s="425">
        <v>8</v>
      </c>
      <c r="B59" s="426" t="s">
        <v>804</v>
      </c>
      <c r="C59" s="424"/>
      <c r="D59" s="425"/>
      <c r="E59" s="425"/>
      <c r="F59" s="425"/>
      <c r="G59" s="434">
        <v>2500</v>
      </c>
      <c r="H59" s="434"/>
      <c r="I59" s="434"/>
      <c r="J59" s="434">
        <v>400</v>
      </c>
      <c r="K59" s="434"/>
      <c r="L59" s="434"/>
      <c r="M59" s="434">
        <v>400</v>
      </c>
      <c r="N59" s="434"/>
      <c r="O59" s="434"/>
      <c r="P59" s="434">
        <v>400</v>
      </c>
      <c r="Q59" s="434"/>
      <c r="R59" s="434"/>
      <c r="S59" s="434">
        <v>400</v>
      </c>
      <c r="T59" s="434"/>
      <c r="U59" s="434"/>
      <c r="V59" s="434"/>
      <c r="W59" s="434"/>
      <c r="X59" s="434"/>
    </row>
    <row r="60" spans="1:24" ht="12">
      <c r="A60" s="425">
        <v>9</v>
      </c>
      <c r="B60" s="426" t="s">
        <v>322</v>
      </c>
      <c r="C60" s="424"/>
      <c r="D60" s="425"/>
      <c r="E60" s="425"/>
      <c r="F60" s="425"/>
      <c r="G60" s="434">
        <v>2500</v>
      </c>
      <c r="H60" s="434"/>
      <c r="I60" s="434"/>
      <c r="J60" s="434">
        <v>400</v>
      </c>
      <c r="K60" s="434"/>
      <c r="L60" s="434"/>
      <c r="M60" s="434">
        <v>400</v>
      </c>
      <c r="N60" s="434"/>
      <c r="O60" s="434"/>
      <c r="P60" s="434">
        <v>400</v>
      </c>
      <c r="Q60" s="434"/>
      <c r="R60" s="434"/>
      <c r="S60" s="434">
        <v>400</v>
      </c>
      <c r="T60" s="434"/>
      <c r="U60" s="434"/>
      <c r="V60" s="434"/>
      <c r="W60" s="434"/>
      <c r="X60" s="434"/>
    </row>
    <row r="61" spans="1:24" ht="12">
      <c r="A61" s="718">
        <v>3</v>
      </c>
      <c r="B61" s="719" t="s">
        <v>805</v>
      </c>
      <c r="C61" s="720"/>
      <c r="D61" s="718"/>
      <c r="E61" s="718"/>
      <c r="F61" s="718"/>
      <c r="G61" s="721">
        <f>+G63+G65+G79</f>
        <v>75547</v>
      </c>
      <c r="H61" s="721"/>
      <c r="I61" s="721"/>
      <c r="J61" s="721">
        <f>+J63+J65+J79</f>
        <v>27234.166999999998</v>
      </c>
      <c r="K61" s="721"/>
      <c r="L61" s="721"/>
      <c r="M61" s="721">
        <f>+M63+M65+M79</f>
        <v>21239</v>
      </c>
      <c r="N61" s="721"/>
      <c r="O61" s="721"/>
      <c r="P61" s="721">
        <f>+P63+P65+P79</f>
        <v>4500</v>
      </c>
      <c r="Q61" s="721"/>
      <c r="R61" s="721"/>
      <c r="S61" s="721">
        <f>+S63+S65+S79</f>
        <v>3800.3869999999997</v>
      </c>
      <c r="T61" s="721"/>
      <c r="U61" s="721"/>
      <c r="V61" s="721"/>
      <c r="W61" s="721"/>
      <c r="X61" s="721"/>
    </row>
    <row r="62" spans="1:24" ht="12">
      <c r="A62" s="427"/>
      <c r="B62" s="428" t="s">
        <v>638</v>
      </c>
      <c r="C62" s="424"/>
      <c r="D62" s="425"/>
      <c r="E62" s="425"/>
      <c r="F62" s="425"/>
      <c r="G62" s="434"/>
      <c r="H62" s="434"/>
      <c r="I62" s="434"/>
      <c r="J62" s="429"/>
      <c r="K62" s="434"/>
      <c r="L62" s="434"/>
      <c r="M62" s="429"/>
      <c r="N62" s="434"/>
      <c r="O62" s="434"/>
      <c r="P62" s="434"/>
      <c r="Q62" s="434"/>
      <c r="R62" s="434"/>
      <c r="S62" s="434"/>
      <c r="T62" s="434"/>
      <c r="U62" s="434"/>
      <c r="V62" s="434"/>
      <c r="W62" s="434"/>
      <c r="X62" s="434"/>
    </row>
    <row r="63" spans="1:24" ht="12">
      <c r="A63" s="427"/>
      <c r="B63" s="426" t="s">
        <v>806</v>
      </c>
      <c r="C63" s="424"/>
      <c r="D63" s="425"/>
      <c r="E63" s="425"/>
      <c r="F63" s="425"/>
      <c r="G63" s="429">
        <f>+G64</f>
        <v>5200</v>
      </c>
      <c r="H63" s="434"/>
      <c r="I63" s="434"/>
      <c r="J63" s="429">
        <f>+J64</f>
        <v>3476</v>
      </c>
      <c r="K63" s="434"/>
      <c r="L63" s="434"/>
      <c r="M63" s="429">
        <f>+M64</f>
        <v>3414</v>
      </c>
      <c r="N63" s="434"/>
      <c r="O63" s="434"/>
      <c r="P63" s="429">
        <f>+P64</f>
        <v>500</v>
      </c>
      <c r="Q63" s="434"/>
      <c r="R63" s="434"/>
      <c r="S63" s="429">
        <f>+S64</f>
        <v>500</v>
      </c>
      <c r="T63" s="434"/>
      <c r="U63" s="434"/>
      <c r="V63" s="434"/>
      <c r="W63" s="434"/>
      <c r="X63" s="434"/>
    </row>
    <row r="64" spans="1:24" ht="12">
      <c r="A64" s="427"/>
      <c r="B64" s="426" t="s">
        <v>807</v>
      </c>
      <c r="C64" s="424"/>
      <c r="D64" s="425"/>
      <c r="E64" s="425"/>
      <c r="F64" s="425"/>
      <c r="G64" s="434">
        <v>5200</v>
      </c>
      <c r="H64" s="434"/>
      <c r="I64" s="434"/>
      <c r="J64" s="434">
        <v>3476</v>
      </c>
      <c r="K64" s="434"/>
      <c r="L64" s="434"/>
      <c r="M64" s="434">
        <v>3414</v>
      </c>
      <c r="N64" s="434"/>
      <c r="O64" s="434"/>
      <c r="P64" s="434">
        <v>500</v>
      </c>
      <c r="Q64" s="434"/>
      <c r="R64" s="434"/>
      <c r="S64" s="434">
        <v>500</v>
      </c>
      <c r="T64" s="434"/>
      <c r="U64" s="434"/>
      <c r="V64" s="434"/>
      <c r="W64" s="434"/>
      <c r="X64" s="434"/>
    </row>
    <row r="65" spans="1:24" ht="12.75">
      <c r="A65" s="430"/>
      <c r="B65" s="431" t="s">
        <v>808</v>
      </c>
      <c r="C65" s="424"/>
      <c r="D65" s="425"/>
      <c r="E65" s="425"/>
      <c r="F65" s="425"/>
      <c r="G65" s="432">
        <f>+G66</f>
        <v>62847</v>
      </c>
      <c r="H65" s="434"/>
      <c r="I65" s="434"/>
      <c r="J65" s="432">
        <f>+J66</f>
        <v>22712.761</v>
      </c>
      <c r="K65" s="434"/>
      <c r="L65" s="434"/>
      <c r="M65" s="432">
        <f>+M66</f>
        <v>17225</v>
      </c>
      <c r="N65" s="434"/>
      <c r="O65" s="434"/>
      <c r="P65" s="432">
        <f>+P66</f>
        <v>3400</v>
      </c>
      <c r="Q65" s="432"/>
      <c r="R65" s="432"/>
      <c r="S65" s="432">
        <f>+S66</f>
        <v>2700.3869999999997</v>
      </c>
      <c r="T65" s="434"/>
      <c r="U65" s="434"/>
      <c r="V65" s="434"/>
      <c r="W65" s="434"/>
      <c r="X65" s="434"/>
    </row>
    <row r="66" spans="1:24" ht="12">
      <c r="A66" s="425" t="s">
        <v>639</v>
      </c>
      <c r="B66" s="426" t="s">
        <v>640</v>
      </c>
      <c r="C66" s="424"/>
      <c r="D66" s="425"/>
      <c r="E66" s="425"/>
      <c r="F66" s="425"/>
      <c r="G66" s="434">
        <f>+SUM(G67:G78)</f>
        <v>62847</v>
      </c>
      <c r="H66" s="434"/>
      <c r="I66" s="434"/>
      <c r="J66" s="434">
        <f>+SUM(J67:J78)</f>
        <v>22712.761</v>
      </c>
      <c r="K66" s="434"/>
      <c r="L66" s="434"/>
      <c r="M66" s="434">
        <f>+SUM(M67:M78)</f>
        <v>17225</v>
      </c>
      <c r="N66" s="434"/>
      <c r="O66" s="434"/>
      <c r="P66" s="434">
        <f>+SUM(P67:P78)</f>
        <v>3400</v>
      </c>
      <c r="Q66" s="434"/>
      <c r="R66" s="434"/>
      <c r="S66" s="434">
        <f>+SUM(S67:S78)</f>
        <v>2700.3869999999997</v>
      </c>
      <c r="T66" s="434"/>
      <c r="U66" s="434"/>
      <c r="V66" s="434"/>
      <c r="W66" s="434"/>
      <c r="X66" s="434"/>
    </row>
    <row r="67" spans="1:24" ht="12">
      <c r="A67" s="425">
        <v>1</v>
      </c>
      <c r="B67" s="426" t="s">
        <v>809</v>
      </c>
      <c r="C67" s="424"/>
      <c r="D67" s="425"/>
      <c r="E67" s="425"/>
      <c r="F67" s="425"/>
      <c r="G67" s="434">
        <v>11500</v>
      </c>
      <c r="H67" s="434"/>
      <c r="I67" s="434"/>
      <c r="J67" s="434">
        <v>5431.631</v>
      </c>
      <c r="K67" s="434"/>
      <c r="L67" s="434"/>
      <c r="M67" s="434">
        <v>500</v>
      </c>
      <c r="N67" s="434"/>
      <c r="O67" s="434"/>
      <c r="P67" s="434">
        <v>500</v>
      </c>
      <c r="Q67" s="434"/>
      <c r="R67" s="434"/>
      <c r="S67" s="434">
        <v>500</v>
      </c>
      <c r="T67" s="434"/>
      <c r="U67" s="434"/>
      <c r="V67" s="434"/>
      <c r="W67" s="434"/>
      <c r="X67" s="434"/>
    </row>
    <row r="68" spans="1:24" ht="12">
      <c r="A68" s="425">
        <v>2</v>
      </c>
      <c r="B68" s="426" t="s">
        <v>657</v>
      </c>
      <c r="C68" s="424"/>
      <c r="D68" s="425"/>
      <c r="E68" s="425"/>
      <c r="F68" s="425"/>
      <c r="G68" s="434">
        <v>8500</v>
      </c>
      <c r="H68" s="434"/>
      <c r="I68" s="434"/>
      <c r="J68" s="434">
        <v>418.032</v>
      </c>
      <c r="K68" s="434"/>
      <c r="L68" s="434"/>
      <c r="M68" s="434">
        <v>500</v>
      </c>
      <c r="N68" s="434"/>
      <c r="O68" s="434"/>
      <c r="P68" s="434">
        <v>500</v>
      </c>
      <c r="Q68" s="434"/>
      <c r="R68" s="434"/>
      <c r="S68" s="434">
        <v>418.032</v>
      </c>
      <c r="T68" s="434"/>
      <c r="U68" s="434"/>
      <c r="V68" s="434"/>
      <c r="W68" s="434"/>
      <c r="X68" s="434"/>
    </row>
    <row r="69" spans="1:24" ht="12">
      <c r="A69" s="425">
        <v>3</v>
      </c>
      <c r="B69" s="426" t="s">
        <v>658</v>
      </c>
      <c r="C69" s="424"/>
      <c r="D69" s="425"/>
      <c r="E69" s="425"/>
      <c r="F69" s="425"/>
      <c r="G69" s="434">
        <v>7059</v>
      </c>
      <c r="H69" s="434"/>
      <c r="I69" s="434"/>
      <c r="J69" s="434"/>
      <c r="K69" s="434"/>
      <c r="L69" s="434"/>
      <c r="M69" s="434"/>
      <c r="N69" s="434"/>
      <c r="O69" s="434"/>
      <c r="P69" s="434">
        <v>400</v>
      </c>
      <c r="Q69" s="434"/>
      <c r="R69" s="434"/>
      <c r="S69" s="434">
        <v>0</v>
      </c>
      <c r="T69" s="434"/>
      <c r="U69" s="434"/>
      <c r="V69" s="434"/>
      <c r="W69" s="434"/>
      <c r="X69" s="434"/>
    </row>
    <row r="70" spans="1:24" ht="12">
      <c r="A70" s="425">
        <v>4</v>
      </c>
      <c r="B70" s="426" t="s">
        <v>659</v>
      </c>
      <c r="C70" s="424"/>
      <c r="D70" s="425"/>
      <c r="E70" s="425"/>
      <c r="F70" s="425"/>
      <c r="G70" s="434">
        <v>5300</v>
      </c>
      <c r="H70" s="434"/>
      <c r="I70" s="434"/>
      <c r="J70" s="434">
        <v>325</v>
      </c>
      <c r="K70" s="434"/>
      <c r="L70" s="434"/>
      <c r="M70" s="434">
        <v>325</v>
      </c>
      <c r="N70" s="434"/>
      <c r="O70" s="434"/>
      <c r="P70" s="434">
        <v>325</v>
      </c>
      <c r="Q70" s="434"/>
      <c r="R70" s="434"/>
      <c r="S70" s="434">
        <v>325</v>
      </c>
      <c r="T70" s="434"/>
      <c r="U70" s="434"/>
      <c r="V70" s="434"/>
      <c r="W70" s="434"/>
      <c r="X70" s="434"/>
    </row>
    <row r="71" spans="1:24" ht="12">
      <c r="A71" s="425">
        <v>5</v>
      </c>
      <c r="B71" s="426" t="s">
        <v>660</v>
      </c>
      <c r="C71" s="424"/>
      <c r="D71" s="425"/>
      <c r="E71" s="425"/>
      <c r="F71" s="425"/>
      <c r="G71" s="434">
        <v>3431</v>
      </c>
      <c r="H71" s="434"/>
      <c r="I71" s="434"/>
      <c r="J71" s="434">
        <v>35.735</v>
      </c>
      <c r="K71" s="434"/>
      <c r="L71" s="434"/>
      <c r="M71" s="434">
        <v>200</v>
      </c>
      <c r="N71" s="434"/>
      <c r="O71" s="434"/>
      <c r="P71" s="434">
        <v>200</v>
      </c>
      <c r="Q71" s="434"/>
      <c r="R71" s="434"/>
      <c r="S71" s="434">
        <v>35.735</v>
      </c>
      <c r="T71" s="434"/>
      <c r="U71" s="434"/>
      <c r="V71" s="434"/>
      <c r="W71" s="434"/>
      <c r="X71" s="434"/>
    </row>
    <row r="72" spans="1:24" ht="12">
      <c r="A72" s="425">
        <v>6</v>
      </c>
      <c r="B72" s="426" t="s">
        <v>661</v>
      </c>
      <c r="C72" s="424"/>
      <c r="D72" s="425"/>
      <c r="E72" s="425"/>
      <c r="F72" s="425"/>
      <c r="G72" s="434">
        <v>1800</v>
      </c>
      <c r="H72" s="434"/>
      <c r="I72" s="434"/>
      <c r="J72" s="434">
        <v>244.58</v>
      </c>
      <c r="K72" s="434"/>
      <c r="L72" s="434"/>
      <c r="M72" s="434">
        <v>220</v>
      </c>
      <c r="N72" s="434"/>
      <c r="O72" s="434"/>
      <c r="P72" s="434">
        <v>100</v>
      </c>
      <c r="Q72" s="434"/>
      <c r="R72" s="434"/>
      <c r="S72" s="434">
        <v>100</v>
      </c>
      <c r="T72" s="434"/>
      <c r="U72" s="434"/>
      <c r="V72" s="434"/>
      <c r="W72" s="434"/>
      <c r="X72" s="434"/>
    </row>
    <row r="73" spans="1:24" ht="12">
      <c r="A73" s="425">
        <v>7</v>
      </c>
      <c r="B73" s="426" t="s">
        <v>662</v>
      </c>
      <c r="C73" s="424"/>
      <c r="D73" s="425"/>
      <c r="E73" s="425"/>
      <c r="F73" s="425"/>
      <c r="G73" s="434">
        <v>5000</v>
      </c>
      <c r="H73" s="434"/>
      <c r="I73" s="434"/>
      <c r="J73" s="434">
        <v>4694</v>
      </c>
      <c r="K73" s="434"/>
      <c r="L73" s="434"/>
      <c r="M73" s="434">
        <v>4887</v>
      </c>
      <c r="N73" s="434"/>
      <c r="O73" s="434"/>
      <c r="P73" s="434">
        <v>300</v>
      </c>
      <c r="Q73" s="434"/>
      <c r="R73" s="434"/>
      <c r="S73" s="434">
        <v>291.26</v>
      </c>
      <c r="T73" s="434"/>
      <c r="U73" s="434"/>
      <c r="V73" s="434"/>
      <c r="W73" s="434"/>
      <c r="X73" s="434"/>
    </row>
    <row r="74" spans="1:24" ht="12">
      <c r="A74" s="425">
        <v>8</v>
      </c>
      <c r="B74" s="426" t="s">
        <v>604</v>
      </c>
      <c r="C74" s="424"/>
      <c r="D74" s="425"/>
      <c r="E74" s="425"/>
      <c r="F74" s="425"/>
      <c r="G74" s="434">
        <v>2031</v>
      </c>
      <c r="H74" s="434"/>
      <c r="I74" s="434"/>
      <c r="J74" s="434">
        <v>80.36</v>
      </c>
      <c r="K74" s="434"/>
      <c r="L74" s="434"/>
      <c r="M74" s="434">
        <v>125</v>
      </c>
      <c r="N74" s="434"/>
      <c r="O74" s="434"/>
      <c r="P74" s="434">
        <v>125</v>
      </c>
      <c r="Q74" s="434"/>
      <c r="R74" s="434"/>
      <c r="S74" s="434">
        <v>80.36</v>
      </c>
      <c r="T74" s="434"/>
      <c r="U74" s="434"/>
      <c r="V74" s="434"/>
      <c r="W74" s="434"/>
      <c r="X74" s="434"/>
    </row>
    <row r="75" spans="1:24" ht="12">
      <c r="A75" s="425">
        <v>9</v>
      </c>
      <c r="B75" s="426" t="s">
        <v>663</v>
      </c>
      <c r="C75" s="424"/>
      <c r="D75" s="425"/>
      <c r="E75" s="425"/>
      <c r="F75" s="425"/>
      <c r="G75" s="434">
        <v>9993</v>
      </c>
      <c r="H75" s="434"/>
      <c r="I75" s="434"/>
      <c r="J75" s="434">
        <v>9664.899</v>
      </c>
      <c r="K75" s="434"/>
      <c r="L75" s="434"/>
      <c r="M75" s="434">
        <v>9488</v>
      </c>
      <c r="N75" s="434"/>
      <c r="O75" s="434"/>
      <c r="P75" s="434">
        <v>500</v>
      </c>
      <c r="Q75" s="434"/>
      <c r="R75" s="434"/>
      <c r="S75" s="434">
        <v>500</v>
      </c>
      <c r="T75" s="434"/>
      <c r="U75" s="434"/>
      <c r="V75" s="434"/>
      <c r="W75" s="434"/>
      <c r="X75" s="434"/>
    </row>
    <row r="76" spans="1:24" ht="12">
      <c r="A76" s="425">
        <v>10</v>
      </c>
      <c r="B76" s="426" t="s">
        <v>664</v>
      </c>
      <c r="C76" s="424"/>
      <c r="D76" s="425"/>
      <c r="E76" s="425"/>
      <c r="F76" s="425"/>
      <c r="G76" s="434">
        <v>1984</v>
      </c>
      <c r="H76" s="434"/>
      <c r="I76" s="434"/>
      <c r="J76" s="434">
        <v>664</v>
      </c>
      <c r="K76" s="434"/>
      <c r="L76" s="434"/>
      <c r="M76" s="434">
        <v>275</v>
      </c>
      <c r="N76" s="434"/>
      <c r="O76" s="434"/>
      <c r="P76" s="434">
        <v>125</v>
      </c>
      <c r="Q76" s="434"/>
      <c r="R76" s="434"/>
      <c r="S76" s="434">
        <v>125</v>
      </c>
      <c r="T76" s="434"/>
      <c r="U76" s="434"/>
      <c r="V76" s="434"/>
      <c r="W76" s="434"/>
      <c r="X76" s="434"/>
    </row>
    <row r="77" spans="1:24" ht="12">
      <c r="A77" s="425">
        <v>11</v>
      </c>
      <c r="B77" s="426" t="s">
        <v>623</v>
      </c>
      <c r="C77" s="424"/>
      <c r="D77" s="425"/>
      <c r="E77" s="425"/>
      <c r="F77" s="425"/>
      <c r="G77" s="434">
        <v>2212</v>
      </c>
      <c r="H77" s="434"/>
      <c r="I77" s="434"/>
      <c r="J77" s="434">
        <v>496.656</v>
      </c>
      <c r="K77" s="434"/>
      <c r="L77" s="434"/>
      <c r="M77" s="434">
        <v>305</v>
      </c>
      <c r="N77" s="434"/>
      <c r="O77" s="434"/>
      <c r="P77" s="434">
        <v>125</v>
      </c>
      <c r="Q77" s="434"/>
      <c r="R77" s="434"/>
      <c r="S77" s="434">
        <v>125</v>
      </c>
      <c r="T77" s="434"/>
      <c r="U77" s="434"/>
      <c r="V77" s="434"/>
      <c r="W77" s="434"/>
      <c r="X77" s="434"/>
    </row>
    <row r="78" spans="1:24" ht="12">
      <c r="A78" s="425">
        <v>12</v>
      </c>
      <c r="B78" s="426" t="s">
        <v>316</v>
      </c>
      <c r="C78" s="424"/>
      <c r="D78" s="425"/>
      <c r="E78" s="425"/>
      <c r="F78" s="425"/>
      <c r="G78" s="434">
        <v>4037</v>
      </c>
      <c r="H78" s="434"/>
      <c r="I78" s="434"/>
      <c r="J78" s="434">
        <v>657.868</v>
      </c>
      <c r="K78" s="434"/>
      <c r="L78" s="434"/>
      <c r="M78" s="434">
        <v>400</v>
      </c>
      <c r="N78" s="434"/>
      <c r="O78" s="434"/>
      <c r="P78" s="434">
        <v>200</v>
      </c>
      <c r="Q78" s="434"/>
      <c r="R78" s="434"/>
      <c r="S78" s="434">
        <v>200</v>
      </c>
      <c r="T78" s="434"/>
      <c r="U78" s="434"/>
      <c r="V78" s="434"/>
      <c r="W78" s="434"/>
      <c r="X78" s="434"/>
    </row>
    <row r="79" spans="1:24" ht="12.75">
      <c r="A79" s="430"/>
      <c r="B79" s="431" t="s">
        <v>810</v>
      </c>
      <c r="C79" s="424"/>
      <c r="D79" s="425"/>
      <c r="E79" s="425"/>
      <c r="F79" s="425"/>
      <c r="G79" s="432">
        <f>+G80</f>
        <v>7500</v>
      </c>
      <c r="H79" s="432"/>
      <c r="I79" s="432"/>
      <c r="J79" s="432">
        <f>+J80</f>
        <v>1045.406</v>
      </c>
      <c r="K79" s="432"/>
      <c r="L79" s="432"/>
      <c r="M79" s="432">
        <f>+M80</f>
        <v>600</v>
      </c>
      <c r="N79" s="432"/>
      <c r="O79" s="432"/>
      <c r="P79" s="432">
        <f>+P80</f>
        <v>600</v>
      </c>
      <c r="Q79" s="432"/>
      <c r="R79" s="432"/>
      <c r="S79" s="432">
        <f>+S80</f>
        <v>600</v>
      </c>
      <c r="T79" s="434"/>
      <c r="U79" s="434"/>
      <c r="V79" s="434"/>
      <c r="W79" s="434"/>
      <c r="X79" s="434"/>
    </row>
    <row r="80" spans="1:24" ht="12">
      <c r="A80" s="425" t="s">
        <v>639</v>
      </c>
      <c r="B80" s="426" t="s">
        <v>640</v>
      </c>
      <c r="C80" s="424"/>
      <c r="D80" s="425"/>
      <c r="E80" s="425"/>
      <c r="F80" s="425"/>
      <c r="G80" s="434">
        <f>+SUM(G81:G82)</f>
        <v>7500</v>
      </c>
      <c r="H80" s="434"/>
      <c r="I80" s="434"/>
      <c r="J80" s="434">
        <f>+SUM(J81:J82)</f>
        <v>1045.406</v>
      </c>
      <c r="K80" s="434"/>
      <c r="L80" s="434"/>
      <c r="M80" s="434">
        <f>+SUM(M81:M82)</f>
        <v>600</v>
      </c>
      <c r="N80" s="434"/>
      <c r="O80" s="434"/>
      <c r="P80" s="434">
        <f>+SUM(P81:P82)</f>
        <v>600</v>
      </c>
      <c r="Q80" s="434"/>
      <c r="R80" s="434"/>
      <c r="S80" s="434">
        <f>+SUM(S81:S82)</f>
        <v>600</v>
      </c>
      <c r="T80" s="434"/>
      <c r="U80" s="434"/>
      <c r="V80" s="434"/>
      <c r="W80" s="434"/>
      <c r="X80" s="434"/>
    </row>
    <row r="81" spans="1:24" ht="12">
      <c r="A81" s="425"/>
      <c r="B81" s="426" t="s">
        <v>811</v>
      </c>
      <c r="C81" s="424"/>
      <c r="D81" s="425"/>
      <c r="E81" s="425"/>
      <c r="F81" s="425"/>
      <c r="G81" s="434">
        <v>5000</v>
      </c>
      <c r="H81" s="434"/>
      <c r="I81" s="434"/>
      <c r="J81" s="434">
        <v>437.44</v>
      </c>
      <c r="K81" s="434"/>
      <c r="L81" s="434"/>
      <c r="M81" s="434">
        <v>400</v>
      </c>
      <c r="N81" s="434"/>
      <c r="O81" s="434"/>
      <c r="P81" s="434">
        <v>400</v>
      </c>
      <c r="Q81" s="434"/>
      <c r="R81" s="434"/>
      <c r="S81" s="434">
        <v>400</v>
      </c>
      <c r="T81" s="434"/>
      <c r="U81" s="434"/>
      <c r="V81" s="434"/>
      <c r="W81" s="434"/>
      <c r="X81" s="434"/>
    </row>
    <row r="82" spans="1:24" ht="12">
      <c r="A82" s="425"/>
      <c r="B82" s="426" t="s">
        <v>812</v>
      </c>
      <c r="C82" s="424"/>
      <c r="D82" s="425"/>
      <c r="E82" s="425"/>
      <c r="F82" s="425"/>
      <c r="G82" s="434">
        <v>2500</v>
      </c>
      <c r="H82" s="434"/>
      <c r="I82" s="434"/>
      <c r="J82" s="434">
        <v>607.966</v>
      </c>
      <c r="K82" s="434"/>
      <c r="L82" s="434"/>
      <c r="M82" s="434">
        <v>200</v>
      </c>
      <c r="N82" s="434"/>
      <c r="O82" s="434"/>
      <c r="P82" s="434">
        <v>200</v>
      </c>
      <c r="Q82" s="434"/>
      <c r="R82" s="434"/>
      <c r="S82" s="434">
        <v>200</v>
      </c>
      <c r="T82" s="434"/>
      <c r="U82" s="434"/>
      <c r="V82" s="434"/>
      <c r="W82" s="434"/>
      <c r="X82" s="434"/>
    </row>
    <row r="83" spans="1:24" ht="12">
      <c r="A83" s="427">
        <v>4</v>
      </c>
      <c r="B83" s="428" t="s">
        <v>813</v>
      </c>
      <c r="C83" s="424"/>
      <c r="D83" s="425"/>
      <c r="E83" s="425"/>
      <c r="F83" s="425"/>
      <c r="G83" s="434"/>
      <c r="H83" s="434"/>
      <c r="I83" s="434"/>
      <c r="J83" s="429">
        <f>+J85+J89+J104+J112</f>
        <v>63947.25000000001</v>
      </c>
      <c r="K83" s="434"/>
      <c r="L83" s="434"/>
      <c r="M83" s="429">
        <f>+M85+M89+M104+M112</f>
        <v>52048.579</v>
      </c>
      <c r="N83" s="434"/>
      <c r="O83" s="434"/>
      <c r="P83" s="429">
        <f>+P85+P89+P104+P112</f>
        <v>10039.706</v>
      </c>
      <c r="Q83" s="434"/>
      <c r="R83" s="434"/>
      <c r="S83" s="429">
        <f>+S85+S89+S104+S112</f>
        <v>10031.562</v>
      </c>
      <c r="T83" s="434"/>
      <c r="U83" s="434"/>
      <c r="V83" s="434"/>
      <c r="W83" s="434"/>
      <c r="X83" s="434"/>
    </row>
    <row r="84" spans="1:24" ht="12">
      <c r="A84" s="427"/>
      <c r="B84" s="428" t="s">
        <v>638</v>
      </c>
      <c r="C84" s="424"/>
      <c r="D84" s="425"/>
      <c r="E84" s="425"/>
      <c r="F84" s="425"/>
      <c r="G84" s="434"/>
      <c r="H84" s="434"/>
      <c r="I84" s="434"/>
      <c r="J84" s="429"/>
      <c r="K84" s="434"/>
      <c r="L84" s="434"/>
      <c r="M84" s="429"/>
      <c r="N84" s="434"/>
      <c r="O84" s="434"/>
      <c r="P84" s="434"/>
      <c r="Q84" s="434"/>
      <c r="R84" s="434"/>
      <c r="S84" s="434"/>
      <c r="T84" s="434"/>
      <c r="U84" s="434"/>
      <c r="V84" s="434"/>
      <c r="W84" s="434"/>
      <c r="X84" s="434"/>
    </row>
    <row r="85" spans="1:24" ht="12">
      <c r="A85" s="425" t="s">
        <v>639</v>
      </c>
      <c r="B85" s="433" t="s">
        <v>0</v>
      </c>
      <c r="C85" s="424"/>
      <c r="D85" s="425"/>
      <c r="E85" s="425"/>
      <c r="F85" s="425"/>
      <c r="G85" s="434"/>
      <c r="H85" s="434"/>
      <c r="I85" s="434"/>
      <c r="J85" s="434">
        <f>+SUM(J86:J88)</f>
        <v>1845.086</v>
      </c>
      <c r="K85" s="434"/>
      <c r="L85" s="434"/>
      <c r="M85" s="434">
        <f>+SUM(M86:M88)</f>
        <v>1394.492</v>
      </c>
      <c r="N85" s="434"/>
      <c r="O85" s="434"/>
      <c r="P85" s="434">
        <f>+SUM(P86:P88)</f>
        <v>1050</v>
      </c>
      <c r="Q85" s="434"/>
      <c r="R85" s="434"/>
      <c r="S85" s="434">
        <f>+SUM(S86:S88)</f>
        <v>1041.856</v>
      </c>
      <c r="T85" s="434"/>
      <c r="U85" s="434"/>
      <c r="V85" s="434"/>
      <c r="W85" s="434"/>
      <c r="X85" s="434"/>
    </row>
    <row r="86" spans="1:24" ht="12">
      <c r="A86" s="425" t="s">
        <v>491</v>
      </c>
      <c r="B86" s="426" t="s">
        <v>814</v>
      </c>
      <c r="C86" s="424"/>
      <c r="D86" s="425"/>
      <c r="E86" s="425"/>
      <c r="F86" s="425"/>
      <c r="G86" s="434"/>
      <c r="H86" s="434"/>
      <c r="I86" s="434"/>
      <c r="J86" s="434">
        <v>436.348</v>
      </c>
      <c r="K86" s="434"/>
      <c r="L86" s="434"/>
      <c r="M86" s="434">
        <v>444.492</v>
      </c>
      <c r="N86" s="434"/>
      <c r="O86" s="434"/>
      <c r="P86" s="434">
        <v>100</v>
      </c>
      <c r="Q86" s="434"/>
      <c r="R86" s="434"/>
      <c r="S86" s="434">
        <v>91.856</v>
      </c>
      <c r="T86" s="434"/>
      <c r="U86" s="434"/>
      <c r="V86" s="434"/>
      <c r="W86" s="434"/>
      <c r="X86" s="434"/>
    </row>
    <row r="87" spans="1:24" ht="12">
      <c r="A87" s="425" t="s">
        <v>15</v>
      </c>
      <c r="B87" s="426" t="s">
        <v>815</v>
      </c>
      <c r="C87" s="424"/>
      <c r="D87" s="425"/>
      <c r="E87" s="425"/>
      <c r="F87" s="425"/>
      <c r="G87" s="434"/>
      <c r="H87" s="434"/>
      <c r="I87" s="434"/>
      <c r="J87" s="434">
        <v>922</v>
      </c>
      <c r="K87" s="434"/>
      <c r="L87" s="434"/>
      <c r="M87" s="434">
        <v>650</v>
      </c>
      <c r="N87" s="434"/>
      <c r="O87" s="434"/>
      <c r="P87" s="434">
        <v>650</v>
      </c>
      <c r="Q87" s="434"/>
      <c r="R87" s="434"/>
      <c r="S87" s="434">
        <v>650</v>
      </c>
      <c r="T87" s="434"/>
      <c r="U87" s="434"/>
      <c r="V87" s="434"/>
      <c r="W87" s="434"/>
      <c r="X87" s="434"/>
    </row>
    <row r="88" spans="1:24" ht="12">
      <c r="A88" s="425">
        <v>3</v>
      </c>
      <c r="B88" s="426" t="s">
        <v>816</v>
      </c>
      <c r="C88" s="424"/>
      <c r="D88" s="425"/>
      <c r="E88" s="425"/>
      <c r="F88" s="425"/>
      <c r="G88" s="434"/>
      <c r="H88" s="434"/>
      <c r="I88" s="434"/>
      <c r="J88" s="434">
        <v>486.738</v>
      </c>
      <c r="K88" s="434"/>
      <c r="L88" s="434"/>
      <c r="M88" s="434">
        <v>300</v>
      </c>
      <c r="N88" s="434"/>
      <c r="O88" s="434"/>
      <c r="P88" s="434">
        <v>300</v>
      </c>
      <c r="Q88" s="434"/>
      <c r="R88" s="434"/>
      <c r="S88" s="434">
        <v>300</v>
      </c>
      <c r="T88" s="434"/>
      <c r="U88" s="434"/>
      <c r="V88" s="434"/>
      <c r="W88" s="434"/>
      <c r="X88" s="434"/>
    </row>
    <row r="89" spans="1:24" ht="12">
      <c r="A89" s="718" t="s">
        <v>639</v>
      </c>
      <c r="B89" s="719" t="s">
        <v>640</v>
      </c>
      <c r="C89" s="720"/>
      <c r="D89" s="718"/>
      <c r="E89" s="718"/>
      <c r="F89" s="718"/>
      <c r="G89" s="721"/>
      <c r="H89" s="721"/>
      <c r="I89" s="721"/>
      <c r="J89" s="721">
        <f>+J90+J99+J101</f>
        <v>58166.113000000005</v>
      </c>
      <c r="K89" s="721"/>
      <c r="L89" s="721"/>
      <c r="M89" s="721">
        <f>+M90+M99+M101</f>
        <v>47895.217</v>
      </c>
      <c r="N89" s="721"/>
      <c r="O89" s="721"/>
      <c r="P89" s="721">
        <f>+P90+P99+P101</f>
        <v>6067.353</v>
      </c>
      <c r="Q89" s="721"/>
      <c r="R89" s="721"/>
      <c r="S89" s="721">
        <f>+S90+S99+S101</f>
        <v>6067.353</v>
      </c>
      <c r="T89" s="721"/>
      <c r="U89" s="721"/>
      <c r="V89" s="721"/>
      <c r="W89" s="721"/>
      <c r="X89" s="721"/>
    </row>
    <row r="90" spans="1:24" ht="12">
      <c r="A90" s="718"/>
      <c r="B90" s="719" t="s">
        <v>817</v>
      </c>
      <c r="C90" s="720"/>
      <c r="D90" s="718"/>
      <c r="E90" s="718"/>
      <c r="F90" s="718"/>
      <c r="G90" s="721"/>
      <c r="H90" s="721"/>
      <c r="I90" s="721"/>
      <c r="J90" s="721">
        <f>+J91+J96</f>
        <v>43112.183000000005</v>
      </c>
      <c r="K90" s="721"/>
      <c r="L90" s="721"/>
      <c r="M90" s="721">
        <f>+M91+M96</f>
        <v>33897.386</v>
      </c>
      <c r="N90" s="721"/>
      <c r="O90" s="721"/>
      <c r="P90" s="721">
        <f>+P91+P96</f>
        <v>4824.2</v>
      </c>
      <c r="Q90" s="721"/>
      <c r="R90" s="721"/>
      <c r="S90" s="721">
        <f>+S91+S96</f>
        <v>4824.2</v>
      </c>
      <c r="T90" s="721"/>
      <c r="U90" s="721"/>
      <c r="V90" s="721"/>
      <c r="W90" s="721"/>
      <c r="X90" s="721"/>
    </row>
    <row r="91" spans="1:24" ht="12">
      <c r="A91" s="425"/>
      <c r="B91" s="428" t="s">
        <v>818</v>
      </c>
      <c r="C91" s="424"/>
      <c r="D91" s="425"/>
      <c r="E91" s="425"/>
      <c r="F91" s="425"/>
      <c r="G91" s="434"/>
      <c r="H91" s="434"/>
      <c r="I91" s="434"/>
      <c r="J91" s="434">
        <f>+SUM(J92:J95)</f>
        <v>25125.732000000004</v>
      </c>
      <c r="K91" s="434"/>
      <c r="L91" s="434"/>
      <c r="M91" s="434">
        <f>+SUM(M92:M95)</f>
        <v>19510.7</v>
      </c>
      <c r="N91" s="434"/>
      <c r="O91" s="434"/>
      <c r="P91" s="434">
        <f>+SUM(P92:P95)</f>
        <v>3401.7</v>
      </c>
      <c r="Q91" s="434"/>
      <c r="R91" s="434"/>
      <c r="S91" s="434">
        <f>+SUM(S92:S95)</f>
        <v>3401.7</v>
      </c>
      <c r="T91" s="434"/>
      <c r="U91" s="434"/>
      <c r="V91" s="434"/>
      <c r="W91" s="434"/>
      <c r="X91" s="434"/>
    </row>
    <row r="92" spans="1:24" ht="12">
      <c r="A92" s="425">
        <v>4</v>
      </c>
      <c r="B92" s="426" t="s">
        <v>591</v>
      </c>
      <c r="C92" s="424"/>
      <c r="D92" s="425"/>
      <c r="E92" s="425"/>
      <c r="F92" s="425"/>
      <c r="G92" s="434"/>
      <c r="H92" s="434"/>
      <c r="I92" s="434"/>
      <c r="J92" s="434">
        <v>4615.522</v>
      </c>
      <c r="K92" s="434"/>
      <c r="L92" s="434"/>
      <c r="M92" s="434">
        <v>4099</v>
      </c>
      <c r="N92" s="434"/>
      <c r="O92" s="434"/>
      <c r="P92" s="434">
        <v>500</v>
      </c>
      <c r="Q92" s="434"/>
      <c r="R92" s="434"/>
      <c r="S92" s="434">
        <v>500</v>
      </c>
      <c r="T92" s="434"/>
      <c r="U92" s="434"/>
      <c r="V92" s="434"/>
      <c r="W92" s="434"/>
      <c r="X92" s="434"/>
    </row>
    <row r="93" spans="1:24" ht="12">
      <c r="A93" s="425">
        <v>5</v>
      </c>
      <c r="B93" s="426" t="s">
        <v>611</v>
      </c>
      <c r="C93" s="424"/>
      <c r="D93" s="425"/>
      <c r="E93" s="425"/>
      <c r="F93" s="425"/>
      <c r="G93" s="434"/>
      <c r="H93" s="434"/>
      <c r="I93" s="434"/>
      <c r="J93" s="434">
        <v>6975.124</v>
      </c>
      <c r="K93" s="434"/>
      <c r="L93" s="434"/>
      <c r="M93" s="434">
        <v>6121.7</v>
      </c>
      <c r="N93" s="434"/>
      <c r="O93" s="434"/>
      <c r="P93" s="434">
        <v>1001.7</v>
      </c>
      <c r="Q93" s="434"/>
      <c r="R93" s="434"/>
      <c r="S93" s="434">
        <v>1001.7</v>
      </c>
      <c r="T93" s="434"/>
      <c r="U93" s="434"/>
      <c r="V93" s="434"/>
      <c r="W93" s="434"/>
      <c r="X93" s="434"/>
    </row>
    <row r="94" spans="1:24" ht="12">
      <c r="A94" s="425">
        <v>6</v>
      </c>
      <c r="B94" s="426" t="s">
        <v>612</v>
      </c>
      <c r="C94" s="424"/>
      <c r="D94" s="425"/>
      <c r="E94" s="425"/>
      <c r="F94" s="425"/>
      <c r="G94" s="434"/>
      <c r="H94" s="434"/>
      <c r="I94" s="434"/>
      <c r="J94" s="434">
        <v>9755.709</v>
      </c>
      <c r="K94" s="434"/>
      <c r="L94" s="434"/>
      <c r="M94" s="434">
        <v>6150</v>
      </c>
      <c r="N94" s="434"/>
      <c r="O94" s="434"/>
      <c r="P94" s="434">
        <v>1400</v>
      </c>
      <c r="Q94" s="434"/>
      <c r="R94" s="434"/>
      <c r="S94" s="434">
        <v>1400</v>
      </c>
      <c r="T94" s="434"/>
      <c r="U94" s="434"/>
      <c r="V94" s="434"/>
      <c r="W94" s="434"/>
      <c r="X94" s="434"/>
    </row>
    <row r="95" spans="1:24" ht="12">
      <c r="A95" s="425">
        <v>7</v>
      </c>
      <c r="B95" s="426" t="s">
        <v>819</v>
      </c>
      <c r="C95" s="424"/>
      <c r="D95" s="425"/>
      <c r="E95" s="425"/>
      <c r="F95" s="425"/>
      <c r="G95" s="434"/>
      <c r="H95" s="434"/>
      <c r="I95" s="434"/>
      <c r="J95" s="434">
        <v>3779.377</v>
      </c>
      <c r="K95" s="434"/>
      <c r="L95" s="434"/>
      <c r="M95" s="434">
        <v>3140</v>
      </c>
      <c r="N95" s="434"/>
      <c r="O95" s="434"/>
      <c r="P95" s="434">
        <v>500</v>
      </c>
      <c r="Q95" s="434"/>
      <c r="R95" s="434"/>
      <c r="S95" s="434">
        <v>500</v>
      </c>
      <c r="T95" s="434"/>
      <c r="U95" s="434"/>
      <c r="V95" s="434"/>
      <c r="W95" s="434"/>
      <c r="X95" s="434"/>
    </row>
    <row r="96" spans="1:24" ht="12">
      <c r="A96" s="425"/>
      <c r="B96" s="428" t="s">
        <v>820</v>
      </c>
      <c r="C96" s="424"/>
      <c r="D96" s="425"/>
      <c r="E96" s="425"/>
      <c r="F96" s="425"/>
      <c r="G96" s="434"/>
      <c r="H96" s="434"/>
      <c r="I96" s="434"/>
      <c r="J96" s="429">
        <f>+SUM(J97:J98)</f>
        <v>17986.451</v>
      </c>
      <c r="K96" s="429"/>
      <c r="L96" s="429"/>
      <c r="M96" s="429">
        <f>+SUM(M97:M98)</f>
        <v>14386.686</v>
      </c>
      <c r="N96" s="429"/>
      <c r="O96" s="429"/>
      <c r="P96" s="429">
        <f>+SUM(P97:P98)</f>
        <v>1422.5</v>
      </c>
      <c r="Q96" s="429"/>
      <c r="R96" s="429"/>
      <c r="S96" s="429">
        <f>+SUM(S97:S98)</f>
        <v>1422.5</v>
      </c>
      <c r="T96" s="434"/>
      <c r="U96" s="434"/>
      <c r="V96" s="434"/>
      <c r="W96" s="434"/>
      <c r="X96" s="434"/>
    </row>
    <row r="97" spans="1:24" ht="12">
      <c r="A97" s="425">
        <v>8</v>
      </c>
      <c r="B97" s="426" t="s">
        <v>821</v>
      </c>
      <c r="C97" s="424"/>
      <c r="D97" s="425"/>
      <c r="E97" s="425"/>
      <c r="F97" s="425"/>
      <c r="G97" s="434"/>
      <c r="H97" s="434"/>
      <c r="I97" s="434"/>
      <c r="J97" s="434">
        <v>10156.319</v>
      </c>
      <c r="K97" s="434"/>
      <c r="L97" s="434"/>
      <c r="M97" s="434">
        <v>7798.19</v>
      </c>
      <c r="N97" s="434"/>
      <c r="O97" s="434"/>
      <c r="P97" s="434">
        <v>711.375</v>
      </c>
      <c r="Q97" s="434"/>
      <c r="R97" s="434"/>
      <c r="S97" s="434">
        <v>711.375</v>
      </c>
      <c r="T97" s="434"/>
      <c r="U97" s="434"/>
      <c r="V97" s="434"/>
      <c r="W97" s="434"/>
      <c r="X97" s="434"/>
    </row>
    <row r="98" spans="1:24" ht="12">
      <c r="A98" s="425">
        <v>9</v>
      </c>
      <c r="B98" s="426" t="s">
        <v>703</v>
      </c>
      <c r="C98" s="424"/>
      <c r="D98" s="425"/>
      <c r="E98" s="425"/>
      <c r="F98" s="425"/>
      <c r="G98" s="434"/>
      <c r="H98" s="434"/>
      <c r="I98" s="434"/>
      <c r="J98" s="434">
        <v>7830.132</v>
      </c>
      <c r="K98" s="434"/>
      <c r="L98" s="434"/>
      <c r="M98" s="434">
        <v>6588.496</v>
      </c>
      <c r="N98" s="434"/>
      <c r="O98" s="434"/>
      <c r="P98" s="434">
        <v>711.125</v>
      </c>
      <c r="Q98" s="434"/>
      <c r="R98" s="434"/>
      <c r="S98" s="434">
        <v>711.125</v>
      </c>
      <c r="T98" s="434"/>
      <c r="U98" s="434"/>
      <c r="V98" s="434"/>
      <c r="W98" s="434"/>
      <c r="X98" s="434"/>
    </row>
    <row r="99" spans="1:24" ht="12">
      <c r="A99" s="718"/>
      <c r="B99" s="719" t="s">
        <v>822</v>
      </c>
      <c r="C99" s="720"/>
      <c r="D99" s="718"/>
      <c r="E99" s="718"/>
      <c r="F99" s="718"/>
      <c r="G99" s="721"/>
      <c r="H99" s="721"/>
      <c r="I99" s="721"/>
      <c r="J99" s="721">
        <f>+J100</f>
        <v>14810.777</v>
      </c>
      <c r="K99" s="721"/>
      <c r="L99" s="721"/>
      <c r="M99" s="721">
        <f>+M100</f>
        <v>13764.647</v>
      </c>
      <c r="N99" s="721"/>
      <c r="O99" s="721"/>
      <c r="P99" s="721">
        <f>+P100</f>
        <v>1000</v>
      </c>
      <c r="Q99" s="721"/>
      <c r="R99" s="721"/>
      <c r="S99" s="721">
        <f>+S100</f>
        <v>1000</v>
      </c>
      <c r="T99" s="721"/>
      <c r="U99" s="721"/>
      <c r="V99" s="721"/>
      <c r="W99" s="721"/>
      <c r="X99" s="721"/>
    </row>
    <row r="100" spans="1:24" ht="12">
      <c r="A100" s="425">
        <v>10</v>
      </c>
      <c r="B100" s="426" t="s">
        <v>823</v>
      </c>
      <c r="C100" s="424"/>
      <c r="D100" s="425"/>
      <c r="E100" s="425"/>
      <c r="F100" s="425"/>
      <c r="G100" s="434"/>
      <c r="H100" s="434"/>
      <c r="I100" s="434"/>
      <c r="J100" s="434">
        <v>14810.777</v>
      </c>
      <c r="K100" s="434"/>
      <c r="L100" s="434"/>
      <c r="M100" s="434">
        <v>13764.647</v>
      </c>
      <c r="N100" s="434"/>
      <c r="O100" s="434"/>
      <c r="P100" s="434">
        <v>1000</v>
      </c>
      <c r="Q100" s="434"/>
      <c r="R100" s="434"/>
      <c r="S100" s="434">
        <v>1000</v>
      </c>
      <c r="T100" s="434"/>
      <c r="U100" s="434"/>
      <c r="V100" s="434"/>
      <c r="W100" s="434"/>
      <c r="X100" s="434"/>
    </row>
    <row r="101" spans="1:24" ht="12">
      <c r="A101" s="718"/>
      <c r="B101" s="719" t="s">
        <v>824</v>
      </c>
      <c r="C101" s="720"/>
      <c r="D101" s="718"/>
      <c r="E101" s="718"/>
      <c r="F101" s="718"/>
      <c r="G101" s="721"/>
      <c r="H101" s="721"/>
      <c r="I101" s="721"/>
      <c r="J101" s="721">
        <f>+J102+J103</f>
        <v>243.15300000000002</v>
      </c>
      <c r="K101" s="721"/>
      <c r="L101" s="721"/>
      <c r="M101" s="721">
        <f>+M102+M103</f>
        <v>233.184</v>
      </c>
      <c r="N101" s="721"/>
      <c r="O101" s="721"/>
      <c r="P101" s="721">
        <f>+P102+P103</f>
        <v>243.15300000000002</v>
      </c>
      <c r="Q101" s="721"/>
      <c r="R101" s="721"/>
      <c r="S101" s="721">
        <f>+S102+S103</f>
        <v>243.15300000000002</v>
      </c>
      <c r="T101" s="721"/>
      <c r="U101" s="721"/>
      <c r="V101" s="721"/>
      <c r="W101" s="721"/>
      <c r="X101" s="721"/>
    </row>
    <row r="102" spans="1:24" ht="12">
      <c r="A102" s="425">
        <v>11</v>
      </c>
      <c r="B102" s="426" t="s">
        <v>825</v>
      </c>
      <c r="C102" s="424"/>
      <c r="D102" s="425"/>
      <c r="E102" s="425"/>
      <c r="F102" s="425"/>
      <c r="G102" s="434"/>
      <c r="H102" s="434"/>
      <c r="I102" s="434"/>
      <c r="J102" s="434">
        <v>172.508</v>
      </c>
      <c r="K102" s="434"/>
      <c r="L102" s="434"/>
      <c r="M102" s="434">
        <v>169.125</v>
      </c>
      <c r="N102" s="434"/>
      <c r="O102" s="434"/>
      <c r="P102" s="434">
        <v>172.508</v>
      </c>
      <c r="Q102" s="434"/>
      <c r="R102" s="434"/>
      <c r="S102" s="434">
        <v>172.508</v>
      </c>
      <c r="T102" s="434"/>
      <c r="U102" s="434"/>
      <c r="V102" s="434"/>
      <c r="W102" s="434"/>
      <c r="X102" s="434"/>
    </row>
    <row r="103" spans="1:24" ht="12">
      <c r="A103" s="425">
        <v>12</v>
      </c>
      <c r="B103" s="426" t="s">
        <v>826</v>
      </c>
      <c r="C103" s="424"/>
      <c r="D103" s="425"/>
      <c r="E103" s="425"/>
      <c r="F103" s="425"/>
      <c r="G103" s="434"/>
      <c r="H103" s="434"/>
      <c r="I103" s="434"/>
      <c r="J103" s="434">
        <v>70.645</v>
      </c>
      <c r="K103" s="434"/>
      <c r="L103" s="434"/>
      <c r="M103" s="434">
        <v>64.059</v>
      </c>
      <c r="N103" s="434"/>
      <c r="O103" s="434"/>
      <c r="P103" s="434">
        <v>70.645</v>
      </c>
      <c r="Q103" s="434"/>
      <c r="R103" s="434"/>
      <c r="S103" s="434">
        <v>70.645</v>
      </c>
      <c r="T103" s="434"/>
      <c r="U103" s="434"/>
      <c r="V103" s="434"/>
      <c r="W103" s="434"/>
      <c r="X103" s="434"/>
    </row>
    <row r="104" spans="1:24" ht="12">
      <c r="A104" s="718" t="s">
        <v>655</v>
      </c>
      <c r="B104" s="730" t="s">
        <v>297</v>
      </c>
      <c r="C104" s="720"/>
      <c r="D104" s="718"/>
      <c r="E104" s="718"/>
      <c r="F104" s="718"/>
      <c r="G104" s="721"/>
      <c r="H104" s="721"/>
      <c r="I104" s="721"/>
      <c r="J104" s="721">
        <f>+SUM(J106:J111)</f>
        <v>1513.6979999999999</v>
      </c>
      <c r="K104" s="721"/>
      <c r="L104" s="721"/>
      <c r="M104" s="721">
        <f>+SUM(M106:M111)</f>
        <v>500</v>
      </c>
      <c r="N104" s="721"/>
      <c r="O104" s="721"/>
      <c r="P104" s="721">
        <f>+SUM(P106:P111)</f>
        <v>500</v>
      </c>
      <c r="Q104" s="721"/>
      <c r="R104" s="721"/>
      <c r="S104" s="721">
        <f>+SUM(S106:S111)</f>
        <v>500</v>
      </c>
      <c r="T104" s="721"/>
      <c r="U104" s="721"/>
      <c r="V104" s="721"/>
      <c r="W104" s="721"/>
      <c r="X104" s="721"/>
    </row>
    <row r="105" spans="1:24" ht="12">
      <c r="A105" s="718"/>
      <c r="B105" s="719" t="s">
        <v>822</v>
      </c>
      <c r="C105" s="720"/>
      <c r="D105" s="718"/>
      <c r="E105" s="718"/>
      <c r="F105" s="718"/>
      <c r="G105" s="721"/>
      <c r="H105" s="721"/>
      <c r="I105" s="721"/>
      <c r="J105" s="721">
        <f>+SUM(J106:J111)</f>
        <v>1513.6979999999999</v>
      </c>
      <c r="K105" s="721"/>
      <c r="L105" s="721"/>
      <c r="M105" s="721">
        <f>+SUM(M106:M111)</f>
        <v>500</v>
      </c>
      <c r="N105" s="721"/>
      <c r="O105" s="721"/>
      <c r="P105" s="721">
        <f>+SUM(P106:P111)</f>
        <v>500</v>
      </c>
      <c r="Q105" s="721"/>
      <c r="R105" s="721"/>
      <c r="S105" s="721">
        <f>+SUM(S106:S111)</f>
        <v>500</v>
      </c>
      <c r="T105" s="721"/>
      <c r="U105" s="721"/>
      <c r="V105" s="721"/>
      <c r="W105" s="721"/>
      <c r="X105" s="721"/>
    </row>
    <row r="106" spans="1:24" ht="12">
      <c r="A106" s="425">
        <v>12</v>
      </c>
      <c r="B106" s="426" t="s">
        <v>827</v>
      </c>
      <c r="C106" s="424"/>
      <c r="D106" s="425"/>
      <c r="E106" s="425"/>
      <c r="F106" s="425"/>
      <c r="G106" s="434"/>
      <c r="H106" s="434"/>
      <c r="I106" s="434"/>
      <c r="J106" s="434">
        <v>756.849</v>
      </c>
      <c r="K106" s="434"/>
      <c r="L106" s="434"/>
      <c r="M106" s="434">
        <v>250</v>
      </c>
      <c r="N106" s="434"/>
      <c r="O106" s="434"/>
      <c r="P106" s="434">
        <v>250</v>
      </c>
      <c r="Q106" s="434"/>
      <c r="R106" s="434"/>
      <c r="S106" s="434">
        <v>250</v>
      </c>
      <c r="T106" s="434"/>
      <c r="U106" s="434"/>
      <c r="V106" s="434"/>
      <c r="W106" s="434"/>
      <c r="X106" s="434"/>
    </row>
    <row r="107" spans="1:24" ht="12">
      <c r="A107" s="425">
        <v>13</v>
      </c>
      <c r="B107" s="426" t="s">
        <v>828</v>
      </c>
      <c r="C107" s="424"/>
      <c r="D107" s="425"/>
      <c r="E107" s="425"/>
      <c r="F107" s="425"/>
      <c r="G107" s="434"/>
      <c r="H107" s="434"/>
      <c r="I107" s="434"/>
      <c r="J107" s="434">
        <v>150.262</v>
      </c>
      <c r="K107" s="434"/>
      <c r="L107" s="434"/>
      <c r="M107" s="434">
        <v>50</v>
      </c>
      <c r="N107" s="434"/>
      <c r="O107" s="434"/>
      <c r="P107" s="434">
        <v>50</v>
      </c>
      <c r="Q107" s="434"/>
      <c r="R107" s="434"/>
      <c r="S107" s="434">
        <v>50</v>
      </c>
      <c r="T107" s="434"/>
      <c r="U107" s="434"/>
      <c r="V107" s="434"/>
      <c r="W107" s="434"/>
      <c r="X107" s="434"/>
    </row>
    <row r="108" spans="1:24" ht="12">
      <c r="A108" s="425">
        <v>14</v>
      </c>
      <c r="B108" s="426" t="s">
        <v>829</v>
      </c>
      <c r="C108" s="424"/>
      <c r="D108" s="425"/>
      <c r="E108" s="425"/>
      <c r="F108" s="425"/>
      <c r="G108" s="434"/>
      <c r="H108" s="434"/>
      <c r="I108" s="434"/>
      <c r="J108" s="434">
        <v>150.252</v>
      </c>
      <c r="K108" s="434"/>
      <c r="L108" s="434"/>
      <c r="M108" s="434">
        <v>50</v>
      </c>
      <c r="N108" s="434"/>
      <c r="O108" s="434"/>
      <c r="P108" s="434">
        <v>50</v>
      </c>
      <c r="Q108" s="434"/>
      <c r="R108" s="434"/>
      <c r="S108" s="434">
        <v>50</v>
      </c>
      <c r="T108" s="434"/>
      <c r="U108" s="434"/>
      <c r="V108" s="434"/>
      <c r="W108" s="434"/>
      <c r="X108" s="434"/>
    </row>
    <row r="109" spans="1:24" ht="12">
      <c r="A109" s="425">
        <v>15</v>
      </c>
      <c r="B109" s="426" t="s">
        <v>830</v>
      </c>
      <c r="C109" s="424"/>
      <c r="D109" s="425"/>
      <c r="E109" s="425"/>
      <c r="F109" s="425"/>
      <c r="G109" s="434"/>
      <c r="H109" s="434"/>
      <c r="I109" s="434"/>
      <c r="J109" s="434">
        <v>206.938</v>
      </c>
      <c r="K109" s="434"/>
      <c r="L109" s="434"/>
      <c r="M109" s="434">
        <v>50</v>
      </c>
      <c r="N109" s="434"/>
      <c r="O109" s="434"/>
      <c r="P109" s="434">
        <v>50</v>
      </c>
      <c r="Q109" s="434"/>
      <c r="R109" s="434"/>
      <c r="S109" s="434">
        <v>50</v>
      </c>
      <c r="T109" s="434"/>
      <c r="U109" s="434"/>
      <c r="V109" s="434"/>
      <c r="W109" s="434"/>
      <c r="X109" s="434"/>
    </row>
    <row r="110" spans="1:24" ht="12">
      <c r="A110" s="425">
        <v>16</v>
      </c>
      <c r="B110" s="426" t="s">
        <v>831</v>
      </c>
      <c r="C110" s="424"/>
      <c r="D110" s="425"/>
      <c r="E110" s="425"/>
      <c r="F110" s="425"/>
      <c r="G110" s="434"/>
      <c r="H110" s="434"/>
      <c r="I110" s="434"/>
      <c r="J110" s="434">
        <v>113.613</v>
      </c>
      <c r="K110" s="434"/>
      <c r="L110" s="434"/>
      <c r="M110" s="434">
        <v>50</v>
      </c>
      <c r="N110" s="434"/>
      <c r="O110" s="434"/>
      <c r="P110" s="434">
        <v>50</v>
      </c>
      <c r="Q110" s="434"/>
      <c r="R110" s="434"/>
      <c r="S110" s="434">
        <v>50</v>
      </c>
      <c r="T110" s="434"/>
      <c r="U110" s="434"/>
      <c r="V110" s="434"/>
      <c r="W110" s="434"/>
      <c r="X110" s="434"/>
    </row>
    <row r="111" spans="1:24" ht="12">
      <c r="A111" s="425">
        <v>17</v>
      </c>
      <c r="B111" s="426" t="s">
        <v>832</v>
      </c>
      <c r="C111" s="424"/>
      <c r="D111" s="425"/>
      <c r="E111" s="425"/>
      <c r="F111" s="425"/>
      <c r="G111" s="434"/>
      <c r="H111" s="434"/>
      <c r="I111" s="434"/>
      <c r="J111" s="434">
        <v>135.784</v>
      </c>
      <c r="K111" s="434"/>
      <c r="L111" s="434"/>
      <c r="M111" s="434">
        <v>50</v>
      </c>
      <c r="N111" s="434"/>
      <c r="O111" s="434"/>
      <c r="P111" s="434">
        <v>50</v>
      </c>
      <c r="Q111" s="434"/>
      <c r="R111" s="434"/>
      <c r="S111" s="434">
        <v>50</v>
      </c>
      <c r="T111" s="434"/>
      <c r="U111" s="434"/>
      <c r="V111" s="434"/>
      <c r="W111" s="434"/>
      <c r="X111" s="434"/>
    </row>
    <row r="112" spans="1:24" ht="12">
      <c r="A112" s="427"/>
      <c r="B112" s="428" t="s">
        <v>420</v>
      </c>
      <c r="C112" s="424"/>
      <c r="D112" s="425"/>
      <c r="E112" s="425"/>
      <c r="F112" s="425"/>
      <c r="G112" s="434"/>
      <c r="H112" s="434"/>
      <c r="I112" s="434"/>
      <c r="J112" s="429">
        <f>+J113+J114</f>
        <v>2422.353</v>
      </c>
      <c r="K112" s="434"/>
      <c r="L112" s="434"/>
      <c r="M112" s="429">
        <f>+M113+M114</f>
        <v>2258.87</v>
      </c>
      <c r="N112" s="434"/>
      <c r="O112" s="434"/>
      <c r="P112" s="429">
        <f>+P113+P114</f>
        <v>2422.353</v>
      </c>
      <c r="Q112" s="434"/>
      <c r="R112" s="434"/>
      <c r="S112" s="429">
        <f>+S113+S114</f>
        <v>2422.353</v>
      </c>
      <c r="T112" s="434"/>
      <c r="U112" s="434"/>
      <c r="V112" s="434"/>
      <c r="W112" s="434"/>
      <c r="X112" s="434"/>
    </row>
    <row r="113" spans="1:24" ht="12">
      <c r="A113" s="425" t="s">
        <v>639</v>
      </c>
      <c r="B113" s="426" t="s">
        <v>550</v>
      </c>
      <c r="C113" s="424"/>
      <c r="D113" s="425"/>
      <c r="E113" s="425"/>
      <c r="F113" s="425"/>
      <c r="G113" s="434"/>
      <c r="H113" s="434"/>
      <c r="I113" s="434"/>
      <c r="J113" s="434">
        <f>+J114+J115</f>
        <v>1526.297</v>
      </c>
      <c r="K113" s="434"/>
      <c r="L113" s="434"/>
      <c r="M113" s="434">
        <f>+M114+M115</f>
        <v>1424.435</v>
      </c>
      <c r="N113" s="434"/>
      <c r="O113" s="434"/>
      <c r="P113" s="434">
        <f>+P114+P115</f>
        <v>1526.297</v>
      </c>
      <c r="Q113" s="434"/>
      <c r="R113" s="434"/>
      <c r="S113" s="434">
        <f>+S114+S115</f>
        <v>1526.297</v>
      </c>
      <c r="T113" s="434"/>
      <c r="U113" s="434"/>
      <c r="V113" s="434"/>
      <c r="W113" s="434"/>
      <c r="X113" s="434"/>
    </row>
    <row r="114" spans="1:24" ht="12">
      <c r="A114" s="425">
        <v>10</v>
      </c>
      <c r="B114" s="426" t="s">
        <v>833</v>
      </c>
      <c r="C114" s="424"/>
      <c r="D114" s="425"/>
      <c r="E114" s="425"/>
      <c r="F114" s="425"/>
      <c r="G114" s="434"/>
      <c r="H114" s="434"/>
      <c r="I114" s="434"/>
      <c r="J114" s="434">
        <v>896.056</v>
      </c>
      <c r="K114" s="434"/>
      <c r="L114" s="434"/>
      <c r="M114" s="434">
        <v>834.435</v>
      </c>
      <c r="N114" s="434"/>
      <c r="O114" s="434"/>
      <c r="P114" s="434">
        <v>896.056</v>
      </c>
      <c r="Q114" s="434"/>
      <c r="R114" s="434"/>
      <c r="S114" s="434">
        <v>896.056</v>
      </c>
      <c r="T114" s="434"/>
      <c r="U114" s="434"/>
      <c r="V114" s="434"/>
      <c r="W114" s="434"/>
      <c r="X114" s="434"/>
    </row>
    <row r="115" spans="1:24" ht="12">
      <c r="A115" s="425">
        <v>14</v>
      </c>
      <c r="B115" s="426" t="s">
        <v>834</v>
      </c>
      <c r="C115" s="424"/>
      <c r="D115" s="425"/>
      <c r="E115" s="425"/>
      <c r="F115" s="425"/>
      <c r="G115" s="434"/>
      <c r="H115" s="434"/>
      <c r="I115" s="434"/>
      <c r="J115" s="434">
        <v>630.241</v>
      </c>
      <c r="K115" s="434"/>
      <c r="L115" s="434"/>
      <c r="M115" s="434">
        <v>590</v>
      </c>
      <c r="N115" s="434"/>
      <c r="O115" s="434"/>
      <c r="P115" s="434">
        <v>630.241</v>
      </c>
      <c r="Q115" s="434"/>
      <c r="R115" s="434"/>
      <c r="S115" s="434">
        <v>630.241</v>
      </c>
      <c r="T115" s="434"/>
      <c r="U115" s="434"/>
      <c r="V115" s="434"/>
      <c r="W115" s="434"/>
      <c r="X115" s="434"/>
    </row>
    <row r="116" spans="1:24" ht="69">
      <c r="A116" s="427">
        <v>5</v>
      </c>
      <c r="B116" s="435" t="s">
        <v>835</v>
      </c>
      <c r="C116" s="424"/>
      <c r="D116" s="425"/>
      <c r="E116" s="425"/>
      <c r="F116" s="425"/>
      <c r="G116" s="434"/>
      <c r="H116" s="434"/>
      <c r="I116" s="434"/>
      <c r="J116" s="429">
        <f>+J117+J124</f>
        <v>18681.034</v>
      </c>
      <c r="K116" s="434"/>
      <c r="L116" s="434"/>
      <c r="M116" s="429">
        <f>+M117+M124</f>
        <v>13080</v>
      </c>
      <c r="N116" s="434"/>
      <c r="O116" s="434"/>
      <c r="P116" s="429">
        <f>+P117+P124</f>
        <v>18681.034</v>
      </c>
      <c r="Q116" s="434"/>
      <c r="R116" s="434"/>
      <c r="S116" s="429">
        <f>+S117+S124</f>
        <v>18681.034</v>
      </c>
      <c r="T116" s="434"/>
      <c r="U116" s="434"/>
      <c r="V116" s="434"/>
      <c r="W116" s="434"/>
      <c r="X116" s="434"/>
    </row>
    <row r="117" spans="1:24" ht="12">
      <c r="A117" s="718" t="s">
        <v>639</v>
      </c>
      <c r="B117" s="719" t="s">
        <v>640</v>
      </c>
      <c r="C117" s="720"/>
      <c r="D117" s="718"/>
      <c r="E117" s="718"/>
      <c r="F117" s="718"/>
      <c r="G117" s="721"/>
      <c r="H117" s="721"/>
      <c r="I117" s="721"/>
      <c r="J117" s="721">
        <f>+SUM(J118:J123)</f>
        <v>18081.034</v>
      </c>
      <c r="K117" s="721"/>
      <c r="L117" s="721"/>
      <c r="M117" s="721">
        <f>+SUM(M118:M123)</f>
        <v>12530</v>
      </c>
      <c r="N117" s="721"/>
      <c r="O117" s="721"/>
      <c r="P117" s="721">
        <f>+SUM(P118:P123)</f>
        <v>18081.034</v>
      </c>
      <c r="Q117" s="721"/>
      <c r="R117" s="721"/>
      <c r="S117" s="721">
        <f>+SUM(S118:S123)</f>
        <v>18081.034</v>
      </c>
      <c r="T117" s="721"/>
      <c r="U117" s="721"/>
      <c r="V117" s="721"/>
      <c r="W117" s="721"/>
      <c r="X117" s="721"/>
    </row>
    <row r="118" spans="1:24" ht="12">
      <c r="A118" s="425">
        <v>1</v>
      </c>
      <c r="B118" s="426" t="s">
        <v>836</v>
      </c>
      <c r="C118" s="424"/>
      <c r="D118" s="425"/>
      <c r="E118" s="425"/>
      <c r="F118" s="425"/>
      <c r="G118" s="434"/>
      <c r="H118" s="434"/>
      <c r="I118" s="434"/>
      <c r="J118" s="434">
        <v>1478.365</v>
      </c>
      <c r="K118" s="434"/>
      <c r="L118" s="434"/>
      <c r="M118" s="434">
        <v>1150</v>
      </c>
      <c r="N118" s="434"/>
      <c r="O118" s="434"/>
      <c r="P118" s="434">
        <v>1478.365</v>
      </c>
      <c r="Q118" s="434"/>
      <c r="R118" s="434"/>
      <c r="S118" s="434">
        <v>1478.365</v>
      </c>
      <c r="T118" s="434"/>
      <c r="U118" s="434"/>
      <c r="V118" s="434"/>
      <c r="W118" s="434"/>
      <c r="X118" s="434"/>
    </row>
    <row r="119" spans="1:24" ht="12">
      <c r="A119" s="425">
        <v>2</v>
      </c>
      <c r="B119" s="426" t="s">
        <v>837</v>
      </c>
      <c r="C119" s="424"/>
      <c r="D119" s="425"/>
      <c r="E119" s="425"/>
      <c r="F119" s="425"/>
      <c r="G119" s="434"/>
      <c r="H119" s="434"/>
      <c r="I119" s="434"/>
      <c r="J119" s="434">
        <v>2821.802</v>
      </c>
      <c r="K119" s="434"/>
      <c r="L119" s="434"/>
      <c r="M119" s="434">
        <v>1500</v>
      </c>
      <c r="N119" s="434"/>
      <c r="O119" s="434"/>
      <c r="P119" s="434">
        <v>2821.802</v>
      </c>
      <c r="Q119" s="434"/>
      <c r="R119" s="434"/>
      <c r="S119" s="434">
        <v>2821.802</v>
      </c>
      <c r="T119" s="434"/>
      <c r="U119" s="434"/>
      <c r="V119" s="434"/>
      <c r="W119" s="434"/>
      <c r="X119" s="434"/>
    </row>
    <row r="120" spans="1:24" ht="12">
      <c r="A120" s="425">
        <v>3</v>
      </c>
      <c r="B120" s="426" t="s">
        <v>838</v>
      </c>
      <c r="C120" s="424"/>
      <c r="D120" s="425"/>
      <c r="E120" s="425"/>
      <c r="F120" s="425"/>
      <c r="G120" s="434"/>
      <c r="H120" s="434"/>
      <c r="I120" s="434"/>
      <c r="J120" s="434">
        <v>1670.921</v>
      </c>
      <c r="K120" s="434"/>
      <c r="L120" s="434"/>
      <c r="M120" s="434">
        <v>1300</v>
      </c>
      <c r="N120" s="434"/>
      <c r="O120" s="434"/>
      <c r="P120" s="434">
        <v>1670.921</v>
      </c>
      <c r="Q120" s="434"/>
      <c r="R120" s="434"/>
      <c r="S120" s="434">
        <v>1670.921</v>
      </c>
      <c r="T120" s="434"/>
      <c r="U120" s="434"/>
      <c r="V120" s="434"/>
      <c r="W120" s="434"/>
      <c r="X120" s="434"/>
    </row>
    <row r="121" spans="1:24" ht="12">
      <c r="A121" s="425">
        <v>4</v>
      </c>
      <c r="B121" s="426" t="s">
        <v>839</v>
      </c>
      <c r="C121" s="424"/>
      <c r="D121" s="425"/>
      <c r="E121" s="425"/>
      <c r="F121" s="425"/>
      <c r="G121" s="434"/>
      <c r="H121" s="434"/>
      <c r="I121" s="434"/>
      <c r="J121" s="434">
        <v>616.026</v>
      </c>
      <c r="K121" s="434"/>
      <c r="L121" s="434"/>
      <c r="M121" s="434">
        <v>480</v>
      </c>
      <c r="N121" s="434"/>
      <c r="O121" s="434"/>
      <c r="P121" s="434">
        <v>616.026</v>
      </c>
      <c r="Q121" s="434"/>
      <c r="R121" s="434"/>
      <c r="S121" s="434">
        <v>616.026</v>
      </c>
      <c r="T121" s="434"/>
      <c r="U121" s="434"/>
      <c r="V121" s="434"/>
      <c r="W121" s="434"/>
      <c r="X121" s="434"/>
    </row>
    <row r="122" spans="1:24" ht="12">
      <c r="A122" s="425">
        <v>5</v>
      </c>
      <c r="B122" s="426" t="s">
        <v>840</v>
      </c>
      <c r="C122" s="424"/>
      <c r="D122" s="425"/>
      <c r="E122" s="425"/>
      <c r="F122" s="425"/>
      <c r="G122" s="434"/>
      <c r="H122" s="434"/>
      <c r="I122" s="434"/>
      <c r="J122" s="434">
        <v>9976.427</v>
      </c>
      <c r="K122" s="434"/>
      <c r="L122" s="434"/>
      <c r="M122" s="434">
        <v>6800</v>
      </c>
      <c r="N122" s="434"/>
      <c r="O122" s="434"/>
      <c r="P122" s="434">
        <v>9976.427</v>
      </c>
      <c r="Q122" s="434"/>
      <c r="R122" s="434"/>
      <c r="S122" s="434">
        <v>9976.427</v>
      </c>
      <c r="T122" s="434"/>
      <c r="U122" s="434"/>
      <c r="V122" s="434"/>
      <c r="W122" s="434"/>
      <c r="X122" s="434"/>
    </row>
    <row r="123" spans="1:24" ht="12">
      <c r="A123" s="425">
        <v>6</v>
      </c>
      <c r="B123" s="426" t="s">
        <v>841</v>
      </c>
      <c r="C123" s="424"/>
      <c r="D123" s="425"/>
      <c r="E123" s="425"/>
      <c r="F123" s="425"/>
      <c r="G123" s="434"/>
      <c r="H123" s="434"/>
      <c r="I123" s="434"/>
      <c r="J123" s="434">
        <v>1517.493</v>
      </c>
      <c r="K123" s="434"/>
      <c r="L123" s="434"/>
      <c r="M123" s="434">
        <v>1300</v>
      </c>
      <c r="N123" s="434"/>
      <c r="O123" s="434"/>
      <c r="P123" s="434">
        <v>1517.493</v>
      </c>
      <c r="Q123" s="434"/>
      <c r="R123" s="434"/>
      <c r="S123" s="434">
        <v>1517.493</v>
      </c>
      <c r="T123" s="434"/>
      <c r="U123" s="434"/>
      <c r="V123" s="434"/>
      <c r="W123" s="434"/>
      <c r="X123" s="434"/>
    </row>
    <row r="124" spans="1:24" ht="12">
      <c r="A124" s="718" t="s">
        <v>649</v>
      </c>
      <c r="B124" s="719" t="s">
        <v>420</v>
      </c>
      <c r="C124" s="720"/>
      <c r="D124" s="718"/>
      <c r="E124" s="718"/>
      <c r="F124" s="718"/>
      <c r="G124" s="721"/>
      <c r="H124" s="721"/>
      <c r="I124" s="721"/>
      <c r="J124" s="721">
        <f>+J125</f>
        <v>600</v>
      </c>
      <c r="K124" s="721"/>
      <c r="L124" s="721"/>
      <c r="M124" s="721">
        <f>+M125</f>
        <v>550</v>
      </c>
      <c r="N124" s="721"/>
      <c r="O124" s="721"/>
      <c r="P124" s="721">
        <f>+P125</f>
        <v>600</v>
      </c>
      <c r="Q124" s="721"/>
      <c r="R124" s="721"/>
      <c r="S124" s="721">
        <f>+S125</f>
        <v>600</v>
      </c>
      <c r="T124" s="721"/>
      <c r="U124" s="721"/>
      <c r="V124" s="721"/>
      <c r="W124" s="721"/>
      <c r="X124" s="721"/>
    </row>
    <row r="125" spans="1:24" ht="12">
      <c r="A125" s="425">
        <v>7</v>
      </c>
      <c r="B125" s="426" t="s">
        <v>842</v>
      </c>
      <c r="C125" s="424"/>
      <c r="D125" s="425"/>
      <c r="E125" s="425"/>
      <c r="F125" s="425"/>
      <c r="G125" s="434"/>
      <c r="H125" s="434"/>
      <c r="I125" s="434"/>
      <c r="J125" s="434">
        <v>600</v>
      </c>
      <c r="K125" s="434"/>
      <c r="L125" s="434"/>
      <c r="M125" s="434">
        <v>550</v>
      </c>
      <c r="N125" s="434"/>
      <c r="O125" s="434"/>
      <c r="P125" s="434">
        <v>600</v>
      </c>
      <c r="Q125" s="434"/>
      <c r="R125" s="434"/>
      <c r="S125" s="434">
        <v>600</v>
      </c>
      <c r="T125" s="434"/>
      <c r="U125" s="434"/>
      <c r="V125" s="434"/>
      <c r="W125" s="434"/>
      <c r="X125" s="434"/>
    </row>
    <row r="126" spans="1:24" ht="12">
      <c r="A126" s="718">
        <v>6</v>
      </c>
      <c r="B126" s="719" t="s">
        <v>843</v>
      </c>
      <c r="C126" s="720"/>
      <c r="D126" s="718"/>
      <c r="E126" s="718"/>
      <c r="F126" s="718"/>
      <c r="G126" s="721"/>
      <c r="H126" s="721"/>
      <c r="I126" s="721"/>
      <c r="J126" s="721">
        <f>+J127+J128</f>
        <v>11493.92</v>
      </c>
      <c r="K126" s="721"/>
      <c r="L126" s="721"/>
      <c r="M126" s="721">
        <f>+M127+M128</f>
        <v>8100</v>
      </c>
      <c r="N126" s="721"/>
      <c r="O126" s="721"/>
      <c r="P126" s="721">
        <f>+P127+P128</f>
        <v>3600</v>
      </c>
      <c r="Q126" s="721"/>
      <c r="R126" s="721"/>
      <c r="S126" s="721">
        <f>+S127+S128</f>
        <v>3600</v>
      </c>
      <c r="T126" s="721"/>
      <c r="U126" s="721"/>
      <c r="V126" s="721"/>
      <c r="W126" s="721"/>
      <c r="X126" s="721"/>
    </row>
    <row r="127" spans="1:24" ht="12">
      <c r="A127" s="425">
        <v>1</v>
      </c>
      <c r="B127" s="426" t="s">
        <v>840</v>
      </c>
      <c r="C127" s="424"/>
      <c r="D127" s="425"/>
      <c r="E127" s="425"/>
      <c r="F127" s="425"/>
      <c r="G127" s="434"/>
      <c r="H127" s="434"/>
      <c r="I127" s="434"/>
      <c r="J127" s="434">
        <v>9976.427</v>
      </c>
      <c r="K127" s="434"/>
      <c r="L127" s="434"/>
      <c r="M127" s="434">
        <v>6800</v>
      </c>
      <c r="N127" s="434"/>
      <c r="O127" s="434"/>
      <c r="P127" s="721">
        <v>3000</v>
      </c>
      <c r="Q127" s="434"/>
      <c r="R127" s="434"/>
      <c r="S127" s="434">
        <v>3000</v>
      </c>
      <c r="T127" s="434"/>
      <c r="U127" s="434"/>
      <c r="V127" s="434"/>
      <c r="W127" s="434"/>
      <c r="X127" s="434"/>
    </row>
    <row r="128" spans="1:24" ht="12">
      <c r="A128" s="425">
        <v>2</v>
      </c>
      <c r="B128" s="426" t="s">
        <v>841</v>
      </c>
      <c r="C128" s="424"/>
      <c r="D128" s="425"/>
      <c r="E128" s="425"/>
      <c r="F128" s="425"/>
      <c r="G128" s="434"/>
      <c r="H128" s="434"/>
      <c r="I128" s="434"/>
      <c r="J128" s="434">
        <v>1517.493</v>
      </c>
      <c r="K128" s="434"/>
      <c r="L128" s="434"/>
      <c r="M128" s="434">
        <v>1300</v>
      </c>
      <c r="N128" s="434"/>
      <c r="O128" s="434"/>
      <c r="P128" s="434">
        <v>600</v>
      </c>
      <c r="Q128" s="434"/>
      <c r="R128" s="434"/>
      <c r="S128" s="434">
        <v>600</v>
      </c>
      <c r="T128" s="434"/>
      <c r="U128" s="434"/>
      <c r="V128" s="434"/>
      <c r="W128" s="434"/>
      <c r="X128" s="434"/>
    </row>
    <row r="129" spans="1:24" ht="12">
      <c r="A129" s="718" t="s">
        <v>668</v>
      </c>
      <c r="B129" s="719" t="s">
        <v>669</v>
      </c>
      <c r="C129" s="720"/>
      <c r="D129" s="718"/>
      <c r="E129" s="718"/>
      <c r="F129" s="718"/>
      <c r="G129" s="721">
        <f>+G130+G189</f>
        <v>188922</v>
      </c>
      <c r="H129" s="721"/>
      <c r="I129" s="721"/>
      <c r="J129" s="721">
        <f>+J130+J189</f>
        <v>171137.49399999998</v>
      </c>
      <c r="K129" s="721"/>
      <c r="L129" s="721"/>
      <c r="M129" s="721">
        <f>+M130+M189</f>
        <v>148460.241</v>
      </c>
      <c r="N129" s="721"/>
      <c r="O129" s="721"/>
      <c r="P129" s="721">
        <f>+P130+P189</f>
        <v>87852.68800000001</v>
      </c>
      <c r="Q129" s="721"/>
      <c r="R129" s="721"/>
      <c r="S129" s="721">
        <f>+S130+S189</f>
        <v>85061.11600000001</v>
      </c>
      <c r="T129" s="721"/>
      <c r="U129" s="721"/>
      <c r="V129" s="721"/>
      <c r="W129" s="721"/>
      <c r="X129" s="721"/>
    </row>
    <row r="130" spans="1:24" ht="12">
      <c r="A130" s="427" t="s">
        <v>670</v>
      </c>
      <c r="B130" s="428" t="s">
        <v>671</v>
      </c>
      <c r="C130" s="424"/>
      <c r="D130" s="425"/>
      <c r="E130" s="425"/>
      <c r="F130" s="425"/>
      <c r="G130" s="434">
        <f>+G131</f>
        <v>121705</v>
      </c>
      <c r="H130" s="434"/>
      <c r="I130" s="434"/>
      <c r="J130" s="434">
        <f>+J131</f>
        <v>119520.87399999998</v>
      </c>
      <c r="K130" s="434"/>
      <c r="L130" s="434"/>
      <c r="M130" s="434">
        <f>+M131</f>
        <v>100537.016</v>
      </c>
      <c r="N130" s="434"/>
      <c r="O130" s="434"/>
      <c r="P130" s="434">
        <f>+P131</f>
        <v>56747.888000000006</v>
      </c>
      <c r="Q130" s="434"/>
      <c r="R130" s="434"/>
      <c r="S130" s="434">
        <f>+S131</f>
        <v>56713.387</v>
      </c>
      <c r="T130" s="434"/>
      <c r="U130" s="434"/>
      <c r="V130" s="434"/>
      <c r="W130" s="434"/>
      <c r="X130" s="434"/>
    </row>
    <row r="131" spans="1:24" ht="12">
      <c r="A131" s="427"/>
      <c r="B131" s="428" t="s">
        <v>672</v>
      </c>
      <c r="C131" s="424"/>
      <c r="D131" s="425"/>
      <c r="E131" s="425"/>
      <c r="F131" s="425"/>
      <c r="G131" s="434">
        <f>+G132</f>
        <v>121705</v>
      </c>
      <c r="H131" s="434"/>
      <c r="I131" s="434"/>
      <c r="J131" s="434">
        <f>+J132</f>
        <v>119520.87399999998</v>
      </c>
      <c r="K131" s="434"/>
      <c r="L131" s="434"/>
      <c r="M131" s="434">
        <f>+M132</f>
        <v>100537.016</v>
      </c>
      <c r="N131" s="434"/>
      <c r="O131" s="434"/>
      <c r="P131" s="434">
        <f>+P132</f>
        <v>56747.888000000006</v>
      </c>
      <c r="Q131" s="434"/>
      <c r="R131" s="434"/>
      <c r="S131" s="434">
        <f>+S132</f>
        <v>56713.387</v>
      </c>
      <c r="T131" s="434"/>
      <c r="U131" s="434"/>
      <c r="V131" s="434"/>
      <c r="W131" s="434"/>
      <c r="X131" s="434"/>
    </row>
    <row r="132" spans="1:24" ht="57">
      <c r="A132" s="722" t="s">
        <v>35</v>
      </c>
      <c r="B132" s="728" t="s">
        <v>844</v>
      </c>
      <c r="C132" s="729"/>
      <c r="D132" s="722"/>
      <c r="E132" s="722"/>
      <c r="F132" s="722"/>
      <c r="G132" s="723">
        <f>+G133+G144+G153+G161+G167+G169+G183</f>
        <v>121705</v>
      </c>
      <c r="H132" s="723"/>
      <c r="I132" s="723"/>
      <c r="J132" s="723">
        <f>+J133+J144+J153+J161+J167+J169+J183</f>
        <v>119520.87399999998</v>
      </c>
      <c r="K132" s="723"/>
      <c r="L132" s="723"/>
      <c r="M132" s="723">
        <f>+M133+M144+M153+M161+M167+M169+M183</f>
        <v>100537.016</v>
      </c>
      <c r="N132" s="723"/>
      <c r="O132" s="723"/>
      <c r="P132" s="723">
        <f>+P133+P144+P153+P161+P167+P169+P183</f>
        <v>56747.888000000006</v>
      </c>
      <c r="Q132" s="723"/>
      <c r="R132" s="723"/>
      <c r="S132" s="723">
        <f>+S133+S144+S153+S161+S167+S169+S183</f>
        <v>56713.387</v>
      </c>
      <c r="T132" s="723"/>
      <c r="U132" s="723"/>
      <c r="V132" s="723"/>
      <c r="W132" s="723"/>
      <c r="X132" s="723"/>
    </row>
    <row r="133" spans="1:24" ht="22.5">
      <c r="A133" s="718" t="s">
        <v>561</v>
      </c>
      <c r="B133" s="728" t="s">
        <v>845</v>
      </c>
      <c r="C133" s="720"/>
      <c r="D133" s="718"/>
      <c r="E133" s="718"/>
      <c r="F133" s="718"/>
      <c r="G133" s="721">
        <f>+G134</f>
        <v>39805</v>
      </c>
      <c r="H133" s="721"/>
      <c r="I133" s="721"/>
      <c r="J133" s="721">
        <f>+J134</f>
        <v>30052.893</v>
      </c>
      <c r="K133" s="721"/>
      <c r="L133" s="721"/>
      <c r="M133" s="721">
        <f>+M134</f>
        <v>27536.608</v>
      </c>
      <c r="N133" s="721"/>
      <c r="O133" s="721"/>
      <c r="P133" s="721">
        <f>+P134</f>
        <v>9389</v>
      </c>
      <c r="Q133" s="721"/>
      <c r="R133" s="721"/>
      <c r="S133" s="721">
        <f>+S134</f>
        <v>9389</v>
      </c>
      <c r="T133" s="721"/>
      <c r="U133" s="721"/>
      <c r="V133" s="721"/>
      <c r="W133" s="721"/>
      <c r="X133" s="721"/>
    </row>
    <row r="134" spans="1:24" ht="12">
      <c r="A134" s="718" t="s">
        <v>639</v>
      </c>
      <c r="B134" s="719" t="s">
        <v>640</v>
      </c>
      <c r="C134" s="720"/>
      <c r="D134" s="718"/>
      <c r="E134" s="718"/>
      <c r="F134" s="718"/>
      <c r="G134" s="721">
        <f>+SUM(G135:G143)</f>
        <v>39805</v>
      </c>
      <c r="H134" s="721"/>
      <c r="I134" s="721"/>
      <c r="J134" s="721">
        <f>+SUM(J135:J143)</f>
        <v>30052.893</v>
      </c>
      <c r="K134" s="721"/>
      <c r="L134" s="721"/>
      <c r="M134" s="721">
        <f>+SUM(M135:M143)</f>
        <v>27536.608</v>
      </c>
      <c r="N134" s="721"/>
      <c r="O134" s="721"/>
      <c r="P134" s="721">
        <f>+SUM(P135:P143)</f>
        <v>9389</v>
      </c>
      <c r="Q134" s="721"/>
      <c r="R134" s="721"/>
      <c r="S134" s="721">
        <f>+SUM(S135:S143)</f>
        <v>9389</v>
      </c>
      <c r="T134" s="721"/>
      <c r="U134" s="721"/>
      <c r="V134" s="721"/>
      <c r="W134" s="721"/>
      <c r="X134" s="721"/>
    </row>
    <row r="135" spans="1:24" ht="12">
      <c r="A135" s="425">
        <v>1</v>
      </c>
      <c r="B135" s="426" t="s">
        <v>673</v>
      </c>
      <c r="C135" s="424"/>
      <c r="D135" s="425"/>
      <c r="E135" s="425"/>
      <c r="F135" s="425"/>
      <c r="G135" s="434">
        <v>5307</v>
      </c>
      <c r="H135" s="434"/>
      <c r="I135" s="434"/>
      <c r="J135" s="434">
        <v>3684.906</v>
      </c>
      <c r="K135" s="434"/>
      <c r="L135" s="434"/>
      <c r="M135" s="434">
        <v>3599</v>
      </c>
      <c r="N135" s="434"/>
      <c r="O135" s="434"/>
      <c r="P135" s="434">
        <v>1200</v>
      </c>
      <c r="Q135" s="434"/>
      <c r="R135" s="434"/>
      <c r="S135" s="434">
        <v>1200</v>
      </c>
      <c r="T135" s="434"/>
      <c r="U135" s="434"/>
      <c r="V135" s="434"/>
      <c r="W135" s="434"/>
      <c r="X135" s="434"/>
    </row>
    <row r="136" spans="1:24" ht="12">
      <c r="A136" s="425">
        <v>2</v>
      </c>
      <c r="B136" s="426" t="s">
        <v>611</v>
      </c>
      <c r="C136" s="424"/>
      <c r="D136" s="425"/>
      <c r="E136" s="425"/>
      <c r="F136" s="425"/>
      <c r="G136" s="434">
        <v>7862</v>
      </c>
      <c r="H136" s="434"/>
      <c r="I136" s="434"/>
      <c r="J136" s="434">
        <v>5717.282</v>
      </c>
      <c r="K136" s="434"/>
      <c r="L136" s="434"/>
      <c r="M136" s="434">
        <v>5120</v>
      </c>
      <c r="N136" s="434"/>
      <c r="O136" s="434"/>
      <c r="P136" s="434">
        <v>1700</v>
      </c>
      <c r="Q136" s="434"/>
      <c r="R136" s="434"/>
      <c r="S136" s="434">
        <v>1700</v>
      </c>
      <c r="T136" s="434"/>
      <c r="U136" s="434"/>
      <c r="V136" s="434"/>
      <c r="W136" s="434"/>
      <c r="X136" s="434"/>
    </row>
    <row r="137" spans="1:24" ht="12">
      <c r="A137" s="425">
        <v>3</v>
      </c>
      <c r="B137" s="426" t="s">
        <v>612</v>
      </c>
      <c r="C137" s="424"/>
      <c r="D137" s="425"/>
      <c r="E137" s="425"/>
      <c r="F137" s="425"/>
      <c r="G137" s="434">
        <v>7580</v>
      </c>
      <c r="H137" s="434"/>
      <c r="I137" s="434"/>
      <c r="J137" s="434">
        <v>5464.245</v>
      </c>
      <c r="K137" s="434"/>
      <c r="L137" s="434"/>
      <c r="M137" s="434">
        <v>4750</v>
      </c>
      <c r="N137" s="434"/>
      <c r="O137" s="434"/>
      <c r="P137" s="434">
        <v>1500</v>
      </c>
      <c r="Q137" s="434"/>
      <c r="R137" s="434"/>
      <c r="S137" s="434">
        <v>1500</v>
      </c>
      <c r="T137" s="434"/>
      <c r="U137" s="434"/>
      <c r="V137" s="434"/>
      <c r="W137" s="434"/>
      <c r="X137" s="434"/>
    </row>
    <row r="138" spans="1:24" ht="12">
      <c r="A138" s="425">
        <v>4</v>
      </c>
      <c r="B138" s="426" t="s">
        <v>674</v>
      </c>
      <c r="C138" s="424"/>
      <c r="D138" s="425"/>
      <c r="E138" s="425"/>
      <c r="F138" s="425"/>
      <c r="G138" s="434">
        <v>6624</v>
      </c>
      <c r="H138" s="434"/>
      <c r="I138" s="434"/>
      <c r="J138" s="434">
        <v>4913.735</v>
      </c>
      <c r="K138" s="434"/>
      <c r="L138" s="434"/>
      <c r="M138" s="434">
        <v>4475</v>
      </c>
      <c r="N138" s="434"/>
      <c r="O138" s="434"/>
      <c r="P138" s="434">
        <v>1500</v>
      </c>
      <c r="Q138" s="434"/>
      <c r="R138" s="434"/>
      <c r="S138" s="434">
        <v>1500</v>
      </c>
      <c r="T138" s="434"/>
      <c r="U138" s="434"/>
      <c r="V138" s="434"/>
      <c r="W138" s="434"/>
      <c r="X138" s="434"/>
    </row>
    <row r="139" spans="1:24" ht="12">
      <c r="A139" s="425">
        <v>5</v>
      </c>
      <c r="B139" s="426" t="s">
        <v>675</v>
      </c>
      <c r="C139" s="424"/>
      <c r="D139" s="425"/>
      <c r="E139" s="425"/>
      <c r="F139" s="425"/>
      <c r="G139" s="434">
        <v>4000</v>
      </c>
      <c r="H139" s="434"/>
      <c r="I139" s="434"/>
      <c r="J139" s="434">
        <v>3380.697</v>
      </c>
      <c r="K139" s="434"/>
      <c r="L139" s="434"/>
      <c r="M139" s="434">
        <v>3218.608</v>
      </c>
      <c r="N139" s="434"/>
      <c r="O139" s="434"/>
      <c r="P139" s="434">
        <v>1448.608</v>
      </c>
      <c r="Q139" s="434"/>
      <c r="R139" s="434"/>
      <c r="S139" s="434">
        <v>1448.608</v>
      </c>
      <c r="T139" s="434"/>
      <c r="U139" s="434"/>
      <c r="V139" s="434"/>
      <c r="W139" s="434"/>
      <c r="X139" s="434"/>
    </row>
    <row r="140" spans="1:24" ht="12">
      <c r="A140" s="425">
        <v>6</v>
      </c>
      <c r="B140" s="426" t="s">
        <v>676</v>
      </c>
      <c r="C140" s="424"/>
      <c r="D140" s="425"/>
      <c r="E140" s="425"/>
      <c r="F140" s="425"/>
      <c r="G140" s="434">
        <v>2700</v>
      </c>
      <c r="H140" s="434"/>
      <c r="I140" s="434"/>
      <c r="J140" s="434">
        <v>1834.177</v>
      </c>
      <c r="K140" s="434"/>
      <c r="L140" s="434"/>
      <c r="M140" s="434">
        <v>1770</v>
      </c>
      <c r="N140" s="434"/>
      <c r="O140" s="434"/>
      <c r="P140" s="434">
        <v>590</v>
      </c>
      <c r="Q140" s="434"/>
      <c r="R140" s="434"/>
      <c r="S140" s="434">
        <v>590</v>
      </c>
      <c r="T140" s="434"/>
      <c r="U140" s="434"/>
      <c r="V140" s="434"/>
      <c r="W140" s="434"/>
      <c r="X140" s="434"/>
    </row>
    <row r="141" spans="1:24" ht="12">
      <c r="A141" s="425">
        <v>7</v>
      </c>
      <c r="B141" s="426" t="s">
        <v>677</v>
      </c>
      <c r="C141" s="424"/>
      <c r="D141" s="425"/>
      <c r="E141" s="425"/>
      <c r="F141" s="425"/>
      <c r="G141" s="434">
        <v>4173</v>
      </c>
      <c r="H141" s="434"/>
      <c r="I141" s="434"/>
      <c r="J141" s="434">
        <v>3651.992</v>
      </c>
      <c r="K141" s="434"/>
      <c r="L141" s="434"/>
      <c r="M141" s="434">
        <v>2640</v>
      </c>
      <c r="N141" s="434"/>
      <c r="O141" s="434"/>
      <c r="P141" s="434">
        <v>850</v>
      </c>
      <c r="Q141" s="434"/>
      <c r="R141" s="434"/>
      <c r="S141" s="434">
        <v>850</v>
      </c>
      <c r="T141" s="434"/>
      <c r="U141" s="434"/>
      <c r="V141" s="434"/>
      <c r="W141" s="434"/>
      <c r="X141" s="434"/>
    </row>
    <row r="142" spans="1:24" ht="12">
      <c r="A142" s="425">
        <v>8</v>
      </c>
      <c r="B142" s="426" t="s">
        <v>678</v>
      </c>
      <c r="C142" s="424"/>
      <c r="D142" s="425"/>
      <c r="E142" s="425"/>
      <c r="F142" s="425"/>
      <c r="G142" s="434">
        <v>660</v>
      </c>
      <c r="H142" s="434"/>
      <c r="I142" s="434"/>
      <c r="J142" s="434">
        <v>594.241</v>
      </c>
      <c r="K142" s="434"/>
      <c r="L142" s="434"/>
      <c r="M142" s="434">
        <v>848</v>
      </c>
      <c r="N142" s="434"/>
      <c r="O142" s="434"/>
      <c r="P142" s="434">
        <v>236.317</v>
      </c>
      <c r="Q142" s="434"/>
      <c r="R142" s="434"/>
      <c r="S142" s="434">
        <v>236.317</v>
      </c>
      <c r="T142" s="434"/>
      <c r="U142" s="434"/>
      <c r="V142" s="434"/>
      <c r="W142" s="434"/>
      <c r="X142" s="434"/>
    </row>
    <row r="143" spans="1:24" ht="12">
      <c r="A143" s="425">
        <v>9</v>
      </c>
      <c r="B143" s="426" t="s">
        <v>679</v>
      </c>
      <c r="C143" s="424"/>
      <c r="D143" s="425"/>
      <c r="E143" s="425"/>
      <c r="F143" s="425"/>
      <c r="G143" s="434">
        <v>899</v>
      </c>
      <c r="H143" s="434"/>
      <c r="I143" s="434"/>
      <c r="J143" s="434">
        <v>811.618</v>
      </c>
      <c r="K143" s="434"/>
      <c r="L143" s="434"/>
      <c r="M143" s="434">
        <v>1116</v>
      </c>
      <c r="N143" s="434"/>
      <c r="O143" s="434"/>
      <c r="P143" s="434">
        <v>364.075</v>
      </c>
      <c r="Q143" s="434"/>
      <c r="R143" s="434"/>
      <c r="S143" s="434">
        <v>364.075</v>
      </c>
      <c r="T143" s="434"/>
      <c r="U143" s="434"/>
      <c r="V143" s="434"/>
      <c r="W143" s="434"/>
      <c r="X143" s="434"/>
    </row>
    <row r="144" spans="1:24" ht="22.5">
      <c r="A144" s="722" t="s">
        <v>561</v>
      </c>
      <c r="B144" s="731" t="s">
        <v>846</v>
      </c>
      <c r="C144" s="720"/>
      <c r="D144" s="718"/>
      <c r="E144" s="718"/>
      <c r="F144" s="718"/>
      <c r="G144" s="721">
        <f>+G145</f>
        <v>40950</v>
      </c>
      <c r="H144" s="721"/>
      <c r="I144" s="721"/>
      <c r="J144" s="721">
        <f>+J145</f>
        <v>25810.516</v>
      </c>
      <c r="K144" s="721"/>
      <c r="L144" s="721"/>
      <c r="M144" s="721">
        <f>+M145</f>
        <v>17490.203999999998</v>
      </c>
      <c r="N144" s="721"/>
      <c r="O144" s="721"/>
      <c r="P144" s="721">
        <f>+P145</f>
        <v>9659</v>
      </c>
      <c r="Q144" s="721"/>
      <c r="R144" s="721"/>
      <c r="S144" s="721">
        <f>+S145</f>
        <v>9659</v>
      </c>
      <c r="T144" s="721"/>
      <c r="U144" s="721"/>
      <c r="V144" s="721"/>
      <c r="W144" s="721"/>
      <c r="X144" s="721"/>
    </row>
    <row r="145" spans="1:24" ht="12">
      <c r="A145" s="425" t="s">
        <v>639</v>
      </c>
      <c r="B145" s="426" t="s">
        <v>640</v>
      </c>
      <c r="C145" s="424"/>
      <c r="D145" s="425"/>
      <c r="E145" s="425"/>
      <c r="F145" s="425"/>
      <c r="G145" s="434">
        <f>+SUM(G146:G152)</f>
        <v>40950</v>
      </c>
      <c r="H145" s="434"/>
      <c r="I145" s="434"/>
      <c r="J145" s="434">
        <f>+SUM(J146:J152)</f>
        <v>25810.516</v>
      </c>
      <c r="K145" s="434"/>
      <c r="L145" s="434"/>
      <c r="M145" s="434">
        <f>+SUM(M146:M152)</f>
        <v>17490.203999999998</v>
      </c>
      <c r="N145" s="434"/>
      <c r="O145" s="434"/>
      <c r="P145" s="434">
        <f>+SUM(P146:P152)</f>
        <v>9659</v>
      </c>
      <c r="Q145" s="434"/>
      <c r="R145" s="434"/>
      <c r="S145" s="434">
        <f>+SUM(S146:S152)</f>
        <v>9659</v>
      </c>
      <c r="T145" s="434"/>
      <c r="U145" s="434"/>
      <c r="V145" s="434"/>
      <c r="W145" s="434"/>
      <c r="X145" s="434"/>
    </row>
    <row r="146" spans="1:24" ht="12">
      <c r="A146" s="425">
        <v>10</v>
      </c>
      <c r="B146" s="426" t="s">
        <v>587</v>
      </c>
      <c r="C146" s="424"/>
      <c r="D146" s="425"/>
      <c r="E146" s="425"/>
      <c r="F146" s="425"/>
      <c r="G146" s="434">
        <v>8500</v>
      </c>
      <c r="H146" s="434"/>
      <c r="I146" s="434"/>
      <c r="J146" s="434">
        <v>4673.465</v>
      </c>
      <c r="K146" s="434"/>
      <c r="L146" s="434"/>
      <c r="M146" s="434">
        <v>3688.204</v>
      </c>
      <c r="N146" s="434"/>
      <c r="O146" s="434"/>
      <c r="P146" s="434">
        <v>2005</v>
      </c>
      <c r="Q146" s="434"/>
      <c r="R146" s="434"/>
      <c r="S146" s="434">
        <v>2005</v>
      </c>
      <c r="T146" s="434"/>
      <c r="U146" s="434"/>
      <c r="V146" s="434"/>
      <c r="W146" s="434"/>
      <c r="X146" s="434"/>
    </row>
    <row r="147" spans="1:24" ht="12">
      <c r="A147" s="425">
        <v>11</v>
      </c>
      <c r="B147" s="426" t="s">
        <v>687</v>
      </c>
      <c r="C147" s="424"/>
      <c r="D147" s="425"/>
      <c r="E147" s="425"/>
      <c r="F147" s="425"/>
      <c r="G147" s="434">
        <v>7400</v>
      </c>
      <c r="H147" s="434"/>
      <c r="I147" s="434"/>
      <c r="J147" s="434">
        <v>4862.127</v>
      </c>
      <c r="K147" s="434"/>
      <c r="L147" s="434"/>
      <c r="M147" s="434">
        <v>3235</v>
      </c>
      <c r="N147" s="434"/>
      <c r="O147" s="434"/>
      <c r="P147" s="434">
        <v>1745</v>
      </c>
      <c r="Q147" s="434"/>
      <c r="R147" s="434"/>
      <c r="S147" s="434">
        <v>1745</v>
      </c>
      <c r="T147" s="434"/>
      <c r="U147" s="434"/>
      <c r="V147" s="434"/>
      <c r="W147" s="434"/>
      <c r="X147" s="434"/>
    </row>
    <row r="148" spans="1:24" ht="12">
      <c r="A148" s="425">
        <v>12</v>
      </c>
      <c r="B148" s="426" t="s">
        <v>688</v>
      </c>
      <c r="C148" s="424"/>
      <c r="D148" s="425"/>
      <c r="E148" s="425"/>
      <c r="F148" s="425"/>
      <c r="G148" s="434">
        <v>4500</v>
      </c>
      <c r="H148" s="434"/>
      <c r="I148" s="434"/>
      <c r="J148" s="434">
        <v>2431.115</v>
      </c>
      <c r="K148" s="434"/>
      <c r="L148" s="434"/>
      <c r="M148" s="434">
        <v>1891</v>
      </c>
      <c r="N148" s="434"/>
      <c r="O148" s="434"/>
      <c r="P148" s="434">
        <v>1061</v>
      </c>
      <c r="Q148" s="434"/>
      <c r="R148" s="434"/>
      <c r="S148" s="434">
        <v>1061</v>
      </c>
      <c r="T148" s="434"/>
      <c r="U148" s="434"/>
      <c r="V148" s="434"/>
      <c r="W148" s="434"/>
      <c r="X148" s="434"/>
    </row>
    <row r="149" spans="1:24" ht="12">
      <c r="A149" s="425">
        <v>13</v>
      </c>
      <c r="B149" s="426" t="s">
        <v>689</v>
      </c>
      <c r="C149" s="424"/>
      <c r="D149" s="425"/>
      <c r="E149" s="425"/>
      <c r="F149" s="425"/>
      <c r="G149" s="434">
        <v>3500</v>
      </c>
      <c r="H149" s="434"/>
      <c r="I149" s="434"/>
      <c r="J149" s="434">
        <v>2823.921</v>
      </c>
      <c r="K149" s="434"/>
      <c r="L149" s="434"/>
      <c r="M149" s="434">
        <v>1516</v>
      </c>
      <c r="N149" s="434"/>
      <c r="O149" s="434"/>
      <c r="P149" s="434">
        <v>826</v>
      </c>
      <c r="Q149" s="434"/>
      <c r="R149" s="434"/>
      <c r="S149" s="434">
        <v>826</v>
      </c>
      <c r="T149" s="434"/>
      <c r="U149" s="434"/>
      <c r="V149" s="434"/>
      <c r="W149" s="434"/>
      <c r="X149" s="434"/>
    </row>
    <row r="150" spans="1:24" ht="12">
      <c r="A150" s="425">
        <v>14</v>
      </c>
      <c r="B150" s="426" t="s">
        <v>690</v>
      </c>
      <c r="C150" s="424"/>
      <c r="D150" s="425"/>
      <c r="E150" s="425"/>
      <c r="F150" s="425"/>
      <c r="G150" s="434">
        <v>5000</v>
      </c>
      <c r="H150" s="434"/>
      <c r="I150" s="434"/>
      <c r="J150" s="434">
        <v>4694.297</v>
      </c>
      <c r="K150" s="434"/>
      <c r="L150" s="434"/>
      <c r="M150" s="434">
        <v>2087</v>
      </c>
      <c r="N150" s="434"/>
      <c r="O150" s="434"/>
      <c r="P150" s="434">
        <v>1179</v>
      </c>
      <c r="Q150" s="434"/>
      <c r="R150" s="434"/>
      <c r="S150" s="434">
        <v>1179</v>
      </c>
      <c r="T150" s="434"/>
      <c r="U150" s="434"/>
      <c r="V150" s="434"/>
      <c r="W150" s="434"/>
      <c r="X150" s="434"/>
    </row>
    <row r="151" spans="1:24" ht="12">
      <c r="A151" s="425">
        <v>15</v>
      </c>
      <c r="B151" s="426" t="s">
        <v>604</v>
      </c>
      <c r="C151" s="424"/>
      <c r="D151" s="425"/>
      <c r="E151" s="425"/>
      <c r="F151" s="425"/>
      <c r="G151" s="434">
        <v>2050</v>
      </c>
      <c r="H151" s="434"/>
      <c r="I151" s="434"/>
      <c r="J151" s="434">
        <v>1814.383</v>
      </c>
      <c r="K151" s="434"/>
      <c r="L151" s="434"/>
      <c r="M151" s="434">
        <v>864</v>
      </c>
      <c r="N151" s="434"/>
      <c r="O151" s="434"/>
      <c r="P151" s="434">
        <v>484</v>
      </c>
      <c r="Q151" s="434"/>
      <c r="R151" s="434"/>
      <c r="S151" s="434">
        <v>484</v>
      </c>
      <c r="T151" s="434"/>
      <c r="U151" s="434"/>
      <c r="V151" s="434"/>
      <c r="W151" s="434"/>
      <c r="X151" s="434"/>
    </row>
    <row r="152" spans="1:24" ht="12">
      <c r="A152" s="425">
        <v>16</v>
      </c>
      <c r="B152" s="426" t="s">
        <v>691</v>
      </c>
      <c r="C152" s="424"/>
      <c r="D152" s="425"/>
      <c r="E152" s="425"/>
      <c r="F152" s="425"/>
      <c r="G152" s="434">
        <v>10000</v>
      </c>
      <c r="H152" s="434"/>
      <c r="I152" s="434"/>
      <c r="J152" s="434">
        <v>4511.208</v>
      </c>
      <c r="K152" s="434"/>
      <c r="L152" s="434"/>
      <c r="M152" s="434">
        <v>4209</v>
      </c>
      <c r="N152" s="434"/>
      <c r="O152" s="434"/>
      <c r="P152" s="434">
        <v>2359</v>
      </c>
      <c r="Q152" s="434"/>
      <c r="R152" s="434"/>
      <c r="S152" s="434">
        <v>2359</v>
      </c>
      <c r="T152" s="434"/>
      <c r="U152" s="434"/>
      <c r="V152" s="434"/>
      <c r="W152" s="434"/>
      <c r="X152" s="434"/>
    </row>
    <row r="153" spans="1:24" ht="12">
      <c r="A153" s="722" t="s">
        <v>561</v>
      </c>
      <c r="B153" s="732" t="s">
        <v>847</v>
      </c>
      <c r="C153" s="729"/>
      <c r="D153" s="722"/>
      <c r="E153" s="722"/>
      <c r="F153" s="722"/>
      <c r="G153" s="429">
        <f>+SUM(G154:G160)</f>
        <v>40950</v>
      </c>
      <c r="H153" s="723"/>
      <c r="I153" s="723"/>
      <c r="J153" s="723">
        <f>+SUM(J154:J160)</f>
        <v>39642.812</v>
      </c>
      <c r="K153" s="723"/>
      <c r="L153" s="723"/>
      <c r="M153" s="723">
        <f>+SUM(M154:M160)</f>
        <v>38260.204</v>
      </c>
      <c r="N153" s="723"/>
      <c r="O153" s="723"/>
      <c r="P153" s="723">
        <f>+SUM(P154:P160)</f>
        <v>20645</v>
      </c>
      <c r="Q153" s="723"/>
      <c r="R153" s="723"/>
      <c r="S153" s="723">
        <f>+SUM(S154:S160)</f>
        <v>20610.499</v>
      </c>
      <c r="T153" s="723"/>
      <c r="U153" s="723"/>
      <c r="V153" s="723"/>
      <c r="W153" s="723"/>
      <c r="X153" s="723"/>
    </row>
    <row r="154" spans="1:24" ht="12">
      <c r="A154" s="425">
        <v>1</v>
      </c>
      <c r="B154" s="426" t="s">
        <v>657</v>
      </c>
      <c r="C154" s="424"/>
      <c r="D154" s="425"/>
      <c r="E154" s="425"/>
      <c r="F154" s="425"/>
      <c r="G154" s="434">
        <v>8500</v>
      </c>
      <c r="H154" s="434"/>
      <c r="I154" s="434"/>
      <c r="J154" s="434">
        <v>8403.843</v>
      </c>
      <c r="K154" s="434"/>
      <c r="L154" s="434"/>
      <c r="M154" s="434">
        <v>7938.204</v>
      </c>
      <c r="N154" s="434"/>
      <c r="O154" s="434"/>
      <c r="P154" s="434">
        <v>4250</v>
      </c>
      <c r="Q154" s="434"/>
      <c r="R154" s="434"/>
      <c r="S154" s="434">
        <v>4250</v>
      </c>
      <c r="T154" s="434"/>
      <c r="U154" s="434"/>
      <c r="V154" s="434"/>
      <c r="W154" s="434"/>
      <c r="X154" s="434"/>
    </row>
    <row r="155" spans="1:24" ht="12">
      <c r="A155" s="425">
        <v>2</v>
      </c>
      <c r="B155" s="426" t="s">
        <v>658</v>
      </c>
      <c r="C155" s="424"/>
      <c r="D155" s="425"/>
      <c r="E155" s="425"/>
      <c r="F155" s="425"/>
      <c r="G155" s="434">
        <v>7400</v>
      </c>
      <c r="H155" s="434"/>
      <c r="I155" s="434"/>
      <c r="J155" s="434">
        <v>6986.724</v>
      </c>
      <c r="K155" s="434"/>
      <c r="L155" s="434"/>
      <c r="M155" s="434">
        <v>6935</v>
      </c>
      <c r="N155" s="434"/>
      <c r="O155" s="434"/>
      <c r="P155" s="434">
        <v>3700</v>
      </c>
      <c r="Q155" s="434"/>
      <c r="R155" s="434"/>
      <c r="S155" s="434">
        <v>3665.499</v>
      </c>
      <c r="T155" s="434"/>
      <c r="U155" s="434"/>
      <c r="V155" s="434"/>
      <c r="W155" s="434"/>
      <c r="X155" s="434"/>
    </row>
    <row r="156" spans="1:24" ht="12">
      <c r="A156" s="425">
        <v>3</v>
      </c>
      <c r="B156" s="426" t="s">
        <v>659</v>
      </c>
      <c r="C156" s="424"/>
      <c r="D156" s="425"/>
      <c r="E156" s="425"/>
      <c r="F156" s="425"/>
      <c r="G156" s="434">
        <v>4500</v>
      </c>
      <c r="H156" s="434"/>
      <c r="I156" s="434"/>
      <c r="J156" s="434">
        <v>5102</v>
      </c>
      <c r="K156" s="434"/>
      <c r="L156" s="434"/>
      <c r="M156" s="434">
        <v>4541</v>
      </c>
      <c r="N156" s="434"/>
      <c r="O156" s="434"/>
      <c r="P156" s="434">
        <v>2650</v>
      </c>
      <c r="Q156" s="434"/>
      <c r="R156" s="434"/>
      <c r="S156" s="434">
        <v>2650</v>
      </c>
      <c r="T156" s="434"/>
      <c r="U156" s="434"/>
      <c r="V156" s="434"/>
      <c r="W156" s="434"/>
      <c r="X156" s="434"/>
    </row>
    <row r="157" spans="1:24" ht="12">
      <c r="A157" s="425">
        <v>4</v>
      </c>
      <c r="B157" s="426" t="s">
        <v>660</v>
      </c>
      <c r="C157" s="424"/>
      <c r="D157" s="425"/>
      <c r="E157" s="425"/>
      <c r="F157" s="425"/>
      <c r="G157" s="434">
        <v>3500</v>
      </c>
      <c r="H157" s="434"/>
      <c r="I157" s="434"/>
      <c r="J157" s="434">
        <v>2900.834</v>
      </c>
      <c r="K157" s="434"/>
      <c r="L157" s="434"/>
      <c r="M157" s="434">
        <v>3266</v>
      </c>
      <c r="N157" s="434"/>
      <c r="O157" s="434"/>
      <c r="P157" s="434">
        <v>1750</v>
      </c>
      <c r="Q157" s="434"/>
      <c r="R157" s="434"/>
      <c r="S157" s="434">
        <v>1750</v>
      </c>
      <c r="T157" s="434"/>
      <c r="U157" s="434"/>
      <c r="V157" s="434"/>
      <c r="W157" s="434"/>
      <c r="X157" s="434"/>
    </row>
    <row r="158" spans="1:24" ht="12">
      <c r="A158" s="425">
        <v>5</v>
      </c>
      <c r="B158" s="426" t="s">
        <v>662</v>
      </c>
      <c r="C158" s="424"/>
      <c r="D158" s="425"/>
      <c r="E158" s="425"/>
      <c r="F158" s="425"/>
      <c r="G158" s="434">
        <v>5000</v>
      </c>
      <c r="H158" s="434"/>
      <c r="I158" s="434"/>
      <c r="J158" s="434">
        <v>4592.297</v>
      </c>
      <c r="K158" s="434"/>
      <c r="L158" s="434"/>
      <c r="M158" s="434">
        <v>4587</v>
      </c>
      <c r="N158" s="434"/>
      <c r="O158" s="434"/>
      <c r="P158" s="434">
        <v>2500</v>
      </c>
      <c r="Q158" s="434"/>
      <c r="R158" s="434"/>
      <c r="S158" s="434">
        <v>2500</v>
      </c>
      <c r="T158" s="434"/>
      <c r="U158" s="434"/>
      <c r="V158" s="434"/>
      <c r="W158" s="434"/>
      <c r="X158" s="434"/>
    </row>
    <row r="159" spans="1:24" ht="12">
      <c r="A159" s="425">
        <v>6</v>
      </c>
      <c r="B159" s="426" t="s">
        <v>604</v>
      </c>
      <c r="C159" s="424"/>
      <c r="D159" s="425"/>
      <c r="E159" s="425"/>
      <c r="F159" s="425"/>
      <c r="G159" s="434">
        <v>2050</v>
      </c>
      <c r="H159" s="434"/>
      <c r="I159" s="434"/>
      <c r="J159" s="434">
        <v>1992.215</v>
      </c>
      <c r="K159" s="434"/>
      <c r="L159" s="434"/>
      <c r="M159" s="434">
        <v>2005</v>
      </c>
      <c r="N159" s="434"/>
      <c r="O159" s="434"/>
      <c r="P159" s="434">
        <v>1016</v>
      </c>
      <c r="Q159" s="434"/>
      <c r="R159" s="434"/>
      <c r="S159" s="434">
        <v>1016</v>
      </c>
      <c r="T159" s="434"/>
      <c r="U159" s="434"/>
      <c r="V159" s="434"/>
      <c r="W159" s="434"/>
      <c r="X159" s="434"/>
    </row>
    <row r="160" spans="1:24" ht="12">
      <c r="A160" s="425">
        <v>7</v>
      </c>
      <c r="B160" s="426" t="s">
        <v>663</v>
      </c>
      <c r="C160" s="424"/>
      <c r="D160" s="425"/>
      <c r="E160" s="425"/>
      <c r="F160" s="425"/>
      <c r="G160" s="434">
        <v>10000</v>
      </c>
      <c r="H160" s="434"/>
      <c r="I160" s="434"/>
      <c r="J160" s="434">
        <v>9664.899</v>
      </c>
      <c r="K160" s="434"/>
      <c r="L160" s="434"/>
      <c r="M160" s="434">
        <v>8988</v>
      </c>
      <c r="N160" s="434"/>
      <c r="O160" s="434"/>
      <c r="P160" s="434">
        <v>4779</v>
      </c>
      <c r="Q160" s="434"/>
      <c r="R160" s="434"/>
      <c r="S160" s="434">
        <v>4779</v>
      </c>
      <c r="T160" s="434"/>
      <c r="U160" s="434"/>
      <c r="V160" s="434"/>
      <c r="W160" s="434"/>
      <c r="X160" s="434"/>
    </row>
    <row r="161" spans="1:24" ht="34.5">
      <c r="A161" s="722" t="s">
        <v>561</v>
      </c>
      <c r="B161" s="728" t="s">
        <v>848</v>
      </c>
      <c r="C161" s="729"/>
      <c r="D161" s="722"/>
      <c r="E161" s="722"/>
      <c r="F161" s="722"/>
      <c r="G161" s="723"/>
      <c r="H161" s="723"/>
      <c r="I161" s="723"/>
      <c r="J161" s="723">
        <f>+SUM(J162:J166)</f>
        <v>13969.765000000001</v>
      </c>
      <c r="K161" s="723"/>
      <c r="L161" s="723"/>
      <c r="M161" s="723">
        <f>+SUM(M162:M166)</f>
        <v>10010</v>
      </c>
      <c r="N161" s="723"/>
      <c r="O161" s="723"/>
      <c r="P161" s="723">
        <f>+SUM(P162:P166)</f>
        <v>7010</v>
      </c>
      <c r="Q161" s="723"/>
      <c r="R161" s="723"/>
      <c r="S161" s="723">
        <f>+SUM(S162:S166)</f>
        <v>7010</v>
      </c>
      <c r="T161" s="723"/>
      <c r="U161" s="723"/>
      <c r="V161" s="723"/>
      <c r="W161" s="723"/>
      <c r="X161" s="723"/>
    </row>
    <row r="162" spans="1:24" ht="12">
      <c r="A162" s="425">
        <v>8</v>
      </c>
      <c r="B162" s="426" t="s">
        <v>802</v>
      </c>
      <c r="C162" s="424"/>
      <c r="D162" s="425"/>
      <c r="E162" s="425"/>
      <c r="F162" s="425"/>
      <c r="G162" s="434"/>
      <c r="H162" s="434"/>
      <c r="I162" s="434"/>
      <c r="J162" s="434">
        <v>5286.203</v>
      </c>
      <c r="K162" s="434"/>
      <c r="L162" s="434"/>
      <c r="M162" s="434">
        <v>3146</v>
      </c>
      <c r="N162" s="434"/>
      <c r="O162" s="434"/>
      <c r="P162" s="434">
        <v>2146</v>
      </c>
      <c r="Q162" s="434"/>
      <c r="R162" s="434"/>
      <c r="S162" s="434">
        <v>2146</v>
      </c>
      <c r="T162" s="434"/>
      <c r="U162" s="434"/>
      <c r="V162" s="434"/>
      <c r="W162" s="434"/>
      <c r="X162" s="434"/>
    </row>
    <row r="163" spans="1:24" ht="12">
      <c r="A163" s="425">
        <v>9</v>
      </c>
      <c r="B163" s="426" t="s">
        <v>803</v>
      </c>
      <c r="C163" s="424"/>
      <c r="D163" s="425"/>
      <c r="E163" s="425"/>
      <c r="F163" s="425"/>
      <c r="G163" s="434"/>
      <c r="H163" s="434"/>
      <c r="I163" s="434"/>
      <c r="J163" s="434">
        <v>3198.954</v>
      </c>
      <c r="K163" s="434"/>
      <c r="L163" s="434"/>
      <c r="M163" s="434">
        <v>2800</v>
      </c>
      <c r="N163" s="434"/>
      <c r="O163" s="434"/>
      <c r="P163" s="434">
        <v>2000</v>
      </c>
      <c r="Q163" s="434"/>
      <c r="R163" s="434"/>
      <c r="S163" s="434">
        <v>2000</v>
      </c>
      <c r="T163" s="434"/>
      <c r="U163" s="434"/>
      <c r="V163" s="434"/>
      <c r="W163" s="434"/>
      <c r="X163" s="434"/>
    </row>
    <row r="164" spans="1:24" ht="12">
      <c r="A164" s="425">
        <v>10</v>
      </c>
      <c r="B164" s="426" t="s">
        <v>804</v>
      </c>
      <c r="C164" s="424"/>
      <c r="D164" s="425"/>
      <c r="E164" s="425"/>
      <c r="F164" s="425"/>
      <c r="G164" s="434"/>
      <c r="H164" s="434"/>
      <c r="I164" s="434"/>
      <c r="J164" s="434">
        <v>1996.9109999999998</v>
      </c>
      <c r="K164" s="434"/>
      <c r="L164" s="434"/>
      <c r="M164" s="434">
        <v>1700</v>
      </c>
      <c r="N164" s="434"/>
      <c r="O164" s="434"/>
      <c r="P164" s="434">
        <v>1300</v>
      </c>
      <c r="Q164" s="434"/>
      <c r="R164" s="434"/>
      <c r="S164" s="434">
        <v>1300</v>
      </c>
      <c r="T164" s="434"/>
      <c r="U164" s="434"/>
      <c r="V164" s="434"/>
      <c r="W164" s="434"/>
      <c r="X164" s="434"/>
    </row>
    <row r="165" spans="1:24" ht="12">
      <c r="A165" s="425">
        <v>11</v>
      </c>
      <c r="B165" s="426" t="s">
        <v>322</v>
      </c>
      <c r="C165" s="424"/>
      <c r="D165" s="425"/>
      <c r="E165" s="425"/>
      <c r="F165" s="425"/>
      <c r="G165" s="434"/>
      <c r="H165" s="434"/>
      <c r="I165" s="434"/>
      <c r="J165" s="434">
        <v>2213.628</v>
      </c>
      <c r="K165" s="434"/>
      <c r="L165" s="434"/>
      <c r="M165" s="434">
        <v>1700</v>
      </c>
      <c r="N165" s="434"/>
      <c r="O165" s="434"/>
      <c r="P165" s="434">
        <v>1300</v>
      </c>
      <c r="Q165" s="434"/>
      <c r="R165" s="434"/>
      <c r="S165" s="434">
        <v>1300</v>
      </c>
      <c r="T165" s="434"/>
      <c r="U165" s="434"/>
      <c r="V165" s="434"/>
      <c r="W165" s="434"/>
      <c r="X165" s="434"/>
    </row>
    <row r="166" spans="1:24" ht="12">
      <c r="A166" s="425">
        <v>12</v>
      </c>
      <c r="B166" s="426" t="s">
        <v>825</v>
      </c>
      <c r="C166" s="424"/>
      <c r="D166" s="425"/>
      <c r="E166" s="425"/>
      <c r="F166" s="425"/>
      <c r="G166" s="434"/>
      <c r="H166" s="434"/>
      <c r="I166" s="434"/>
      <c r="J166" s="434">
        <v>1274.069</v>
      </c>
      <c r="K166" s="434"/>
      <c r="L166" s="434"/>
      <c r="M166" s="434">
        <v>664</v>
      </c>
      <c r="N166" s="434"/>
      <c r="O166" s="434"/>
      <c r="P166" s="434">
        <v>264</v>
      </c>
      <c r="Q166" s="434"/>
      <c r="R166" s="434"/>
      <c r="S166" s="434">
        <v>264</v>
      </c>
      <c r="T166" s="434"/>
      <c r="U166" s="434"/>
      <c r="V166" s="434"/>
      <c r="W166" s="434"/>
      <c r="X166" s="434"/>
    </row>
    <row r="167" spans="1:24" ht="22.5">
      <c r="A167" s="718" t="s">
        <v>561</v>
      </c>
      <c r="B167" s="731" t="s">
        <v>849</v>
      </c>
      <c r="C167" s="720"/>
      <c r="D167" s="718"/>
      <c r="E167" s="718"/>
      <c r="F167" s="718"/>
      <c r="G167" s="721"/>
      <c r="H167" s="721"/>
      <c r="I167" s="721"/>
      <c r="J167" s="721">
        <f>+J168</f>
        <v>3210.069</v>
      </c>
      <c r="K167" s="721"/>
      <c r="L167" s="721"/>
      <c r="M167" s="721">
        <f>+M168</f>
        <v>2600</v>
      </c>
      <c r="N167" s="721"/>
      <c r="O167" s="721"/>
      <c r="P167" s="721">
        <f>+P168</f>
        <v>3210.069</v>
      </c>
      <c r="Q167" s="721"/>
      <c r="R167" s="721"/>
      <c r="S167" s="721">
        <f>+S168</f>
        <v>3210.069</v>
      </c>
      <c r="T167" s="721"/>
      <c r="U167" s="721"/>
      <c r="V167" s="721"/>
      <c r="W167" s="721"/>
      <c r="X167" s="721"/>
    </row>
    <row r="168" spans="1:24" ht="12">
      <c r="A168" s="425">
        <v>13</v>
      </c>
      <c r="B168" s="426" t="s">
        <v>825</v>
      </c>
      <c r="C168" s="424"/>
      <c r="D168" s="425"/>
      <c r="E168" s="425"/>
      <c r="F168" s="425"/>
      <c r="G168" s="434"/>
      <c r="H168" s="434"/>
      <c r="I168" s="434"/>
      <c r="J168" s="434">
        <v>3210.069</v>
      </c>
      <c r="K168" s="434"/>
      <c r="L168" s="434"/>
      <c r="M168" s="434">
        <v>2600</v>
      </c>
      <c r="N168" s="434"/>
      <c r="O168" s="434"/>
      <c r="P168" s="434">
        <v>3210.069</v>
      </c>
      <c r="Q168" s="434"/>
      <c r="R168" s="434"/>
      <c r="S168" s="434">
        <v>3210.069</v>
      </c>
      <c r="T168" s="434"/>
      <c r="U168" s="434"/>
      <c r="V168" s="434"/>
      <c r="W168" s="434"/>
      <c r="X168" s="434"/>
    </row>
    <row r="169" spans="1:24" ht="45.75">
      <c r="A169" s="722" t="s">
        <v>561</v>
      </c>
      <c r="B169" s="728" t="s">
        <v>850</v>
      </c>
      <c r="C169" s="729"/>
      <c r="D169" s="722"/>
      <c r="E169" s="722"/>
      <c r="F169" s="722"/>
      <c r="G169" s="723"/>
      <c r="H169" s="723"/>
      <c r="I169" s="723"/>
      <c r="J169" s="723">
        <f>+J170+J175+J177+J179+J181</f>
        <v>6543.573999999999</v>
      </c>
      <c r="K169" s="723"/>
      <c r="L169" s="723"/>
      <c r="M169" s="723">
        <f>+M170+M175+M177+M179+M181</f>
        <v>4540</v>
      </c>
      <c r="N169" s="723"/>
      <c r="O169" s="723"/>
      <c r="P169" s="723">
        <f>+P170+P175+P177+P179+P181</f>
        <v>6543.573999999999</v>
      </c>
      <c r="Q169" s="723"/>
      <c r="R169" s="723"/>
      <c r="S169" s="723">
        <f>+S170+S175+S177+S179+S181</f>
        <v>6543.573999999999</v>
      </c>
      <c r="T169" s="723"/>
      <c r="U169" s="723"/>
      <c r="V169" s="723"/>
      <c r="W169" s="723"/>
      <c r="X169" s="723"/>
    </row>
    <row r="170" spans="1:24" ht="12">
      <c r="A170" s="718" t="s">
        <v>639</v>
      </c>
      <c r="B170" s="719" t="s">
        <v>640</v>
      </c>
      <c r="C170" s="729"/>
      <c r="D170" s="722"/>
      <c r="E170" s="722"/>
      <c r="F170" s="722"/>
      <c r="G170" s="723"/>
      <c r="H170" s="723"/>
      <c r="I170" s="723"/>
      <c r="J170" s="723">
        <f>+SUM(J171:J174)</f>
        <v>4762.428</v>
      </c>
      <c r="K170" s="723"/>
      <c r="L170" s="723"/>
      <c r="M170" s="723">
        <f>+SUM(M171:M174)</f>
        <v>2750</v>
      </c>
      <c r="N170" s="723"/>
      <c r="O170" s="723"/>
      <c r="P170" s="723">
        <f>+SUM(P171:P174)</f>
        <v>4762.428</v>
      </c>
      <c r="Q170" s="723"/>
      <c r="R170" s="723"/>
      <c r="S170" s="723">
        <f>+SUM(S171:S174)</f>
        <v>4762.428</v>
      </c>
      <c r="T170" s="723"/>
      <c r="U170" s="723"/>
      <c r="V170" s="723"/>
      <c r="W170" s="723"/>
      <c r="X170" s="723"/>
    </row>
    <row r="171" spans="1:24" ht="12">
      <c r="A171" s="425">
        <v>14</v>
      </c>
      <c r="B171" s="426" t="s">
        <v>851</v>
      </c>
      <c r="C171" s="424"/>
      <c r="D171" s="425"/>
      <c r="E171" s="425"/>
      <c r="F171" s="425"/>
      <c r="G171" s="434"/>
      <c r="H171" s="434"/>
      <c r="I171" s="434"/>
      <c r="J171" s="434">
        <v>1784.261</v>
      </c>
      <c r="K171" s="434"/>
      <c r="L171" s="434"/>
      <c r="M171" s="434">
        <v>1000</v>
      </c>
      <c r="N171" s="434"/>
      <c r="O171" s="434"/>
      <c r="P171" s="434">
        <v>1784.261</v>
      </c>
      <c r="Q171" s="434"/>
      <c r="R171" s="434"/>
      <c r="S171" s="434">
        <v>1784.261</v>
      </c>
      <c r="T171" s="434"/>
      <c r="U171" s="434"/>
      <c r="V171" s="434"/>
      <c r="W171" s="434"/>
      <c r="X171" s="434"/>
    </row>
    <row r="172" spans="1:24" ht="12">
      <c r="A172" s="425">
        <v>15</v>
      </c>
      <c r="B172" s="426" t="s">
        <v>852</v>
      </c>
      <c r="C172" s="424"/>
      <c r="D172" s="425"/>
      <c r="E172" s="425"/>
      <c r="F172" s="425"/>
      <c r="G172" s="434"/>
      <c r="H172" s="434"/>
      <c r="I172" s="434"/>
      <c r="J172" s="434">
        <v>1800.653</v>
      </c>
      <c r="K172" s="434"/>
      <c r="L172" s="434"/>
      <c r="M172" s="434">
        <v>1000</v>
      </c>
      <c r="N172" s="434"/>
      <c r="O172" s="434"/>
      <c r="P172" s="434">
        <v>1800.653</v>
      </c>
      <c r="Q172" s="434"/>
      <c r="R172" s="434"/>
      <c r="S172" s="434">
        <v>1800.653</v>
      </c>
      <c r="T172" s="434"/>
      <c r="U172" s="434"/>
      <c r="V172" s="434"/>
      <c r="W172" s="434"/>
      <c r="X172" s="434"/>
    </row>
    <row r="173" spans="1:24" ht="12">
      <c r="A173" s="425">
        <v>16</v>
      </c>
      <c r="B173" s="426" t="s">
        <v>853</v>
      </c>
      <c r="C173" s="424"/>
      <c r="D173" s="425"/>
      <c r="E173" s="425"/>
      <c r="F173" s="425"/>
      <c r="G173" s="434"/>
      <c r="H173" s="434"/>
      <c r="I173" s="434"/>
      <c r="J173" s="434">
        <v>910.503</v>
      </c>
      <c r="K173" s="434"/>
      <c r="L173" s="434"/>
      <c r="M173" s="434">
        <v>500</v>
      </c>
      <c r="N173" s="434"/>
      <c r="O173" s="434"/>
      <c r="P173" s="434">
        <v>910.503</v>
      </c>
      <c r="Q173" s="434"/>
      <c r="R173" s="434"/>
      <c r="S173" s="434">
        <v>910.503</v>
      </c>
      <c r="T173" s="434"/>
      <c r="U173" s="434"/>
      <c r="V173" s="434"/>
      <c r="W173" s="434"/>
      <c r="X173" s="434"/>
    </row>
    <row r="174" spans="1:24" ht="12">
      <c r="A174" s="425">
        <v>17</v>
      </c>
      <c r="B174" s="426" t="s">
        <v>854</v>
      </c>
      <c r="C174" s="424"/>
      <c r="D174" s="425"/>
      <c r="E174" s="425"/>
      <c r="F174" s="425"/>
      <c r="G174" s="434"/>
      <c r="H174" s="434"/>
      <c r="I174" s="434"/>
      <c r="J174" s="434">
        <v>267.011</v>
      </c>
      <c r="K174" s="434"/>
      <c r="L174" s="434"/>
      <c r="M174" s="434">
        <v>250</v>
      </c>
      <c r="N174" s="434"/>
      <c r="O174" s="434"/>
      <c r="P174" s="434">
        <v>267.011</v>
      </c>
      <c r="Q174" s="434"/>
      <c r="R174" s="434"/>
      <c r="S174" s="434">
        <v>267.011</v>
      </c>
      <c r="T174" s="434"/>
      <c r="U174" s="434"/>
      <c r="V174" s="434"/>
      <c r="W174" s="434"/>
      <c r="X174" s="434"/>
    </row>
    <row r="175" spans="1:24" ht="12">
      <c r="A175" s="718" t="s">
        <v>649</v>
      </c>
      <c r="B175" s="719" t="s">
        <v>297</v>
      </c>
      <c r="C175" s="720"/>
      <c r="D175" s="718"/>
      <c r="E175" s="718"/>
      <c r="F175" s="718"/>
      <c r="G175" s="721"/>
      <c r="H175" s="721"/>
      <c r="I175" s="721"/>
      <c r="J175" s="721">
        <f>+J176</f>
        <v>899.964</v>
      </c>
      <c r="K175" s="721"/>
      <c r="L175" s="721"/>
      <c r="M175" s="721">
        <f>+M176</f>
        <v>900</v>
      </c>
      <c r="N175" s="721"/>
      <c r="O175" s="721"/>
      <c r="P175" s="721">
        <f>+P176</f>
        <v>899.964</v>
      </c>
      <c r="Q175" s="721"/>
      <c r="R175" s="721"/>
      <c r="S175" s="721">
        <f>+S176</f>
        <v>899.964</v>
      </c>
      <c r="T175" s="721"/>
      <c r="U175" s="721"/>
      <c r="V175" s="721"/>
      <c r="W175" s="721"/>
      <c r="X175" s="721"/>
    </row>
    <row r="176" spans="1:24" ht="12">
      <c r="A176" s="425">
        <v>18</v>
      </c>
      <c r="B176" s="426" t="s">
        <v>855</v>
      </c>
      <c r="C176" s="424"/>
      <c r="D176" s="425"/>
      <c r="E176" s="425"/>
      <c r="F176" s="425"/>
      <c r="G176" s="434"/>
      <c r="H176" s="434"/>
      <c r="I176" s="434"/>
      <c r="J176" s="434">
        <v>899.964</v>
      </c>
      <c r="K176" s="434"/>
      <c r="L176" s="434"/>
      <c r="M176" s="434">
        <v>900</v>
      </c>
      <c r="N176" s="434"/>
      <c r="O176" s="434"/>
      <c r="P176" s="434">
        <v>899.964</v>
      </c>
      <c r="Q176" s="434"/>
      <c r="R176" s="434"/>
      <c r="S176" s="434">
        <v>899.964</v>
      </c>
      <c r="T176" s="434"/>
      <c r="U176" s="434"/>
      <c r="V176" s="434"/>
      <c r="W176" s="434"/>
      <c r="X176" s="434"/>
    </row>
    <row r="177" spans="1:24" ht="12">
      <c r="A177" s="718" t="s">
        <v>649</v>
      </c>
      <c r="B177" s="719" t="s">
        <v>856</v>
      </c>
      <c r="C177" s="720"/>
      <c r="D177" s="718"/>
      <c r="E177" s="718"/>
      <c r="F177" s="718"/>
      <c r="G177" s="721"/>
      <c r="H177" s="721"/>
      <c r="I177" s="721"/>
      <c r="J177" s="721">
        <f>+J178</f>
        <v>349.328</v>
      </c>
      <c r="K177" s="721"/>
      <c r="L177" s="721"/>
      <c r="M177" s="721">
        <f>+M178</f>
        <v>350</v>
      </c>
      <c r="N177" s="721"/>
      <c r="O177" s="721"/>
      <c r="P177" s="721">
        <f>+P178</f>
        <v>349.328</v>
      </c>
      <c r="Q177" s="721"/>
      <c r="R177" s="721"/>
      <c r="S177" s="721">
        <f>+S178</f>
        <v>349.328</v>
      </c>
      <c r="T177" s="721"/>
      <c r="U177" s="721"/>
      <c r="V177" s="721"/>
      <c r="W177" s="721"/>
      <c r="X177" s="721"/>
    </row>
    <row r="178" spans="1:24" ht="12">
      <c r="A178" s="425">
        <v>19</v>
      </c>
      <c r="B178" s="426" t="s">
        <v>857</v>
      </c>
      <c r="C178" s="424"/>
      <c r="D178" s="425"/>
      <c r="E178" s="425"/>
      <c r="F178" s="425"/>
      <c r="G178" s="434"/>
      <c r="H178" s="434"/>
      <c r="I178" s="434"/>
      <c r="J178" s="434">
        <v>349.328</v>
      </c>
      <c r="K178" s="434"/>
      <c r="L178" s="434"/>
      <c r="M178" s="434">
        <v>350</v>
      </c>
      <c r="N178" s="434"/>
      <c r="O178" s="434"/>
      <c r="P178" s="434">
        <v>349.328</v>
      </c>
      <c r="Q178" s="434"/>
      <c r="R178" s="434"/>
      <c r="S178" s="434">
        <v>349.328</v>
      </c>
      <c r="T178" s="434"/>
      <c r="U178" s="434"/>
      <c r="V178" s="434"/>
      <c r="W178" s="434"/>
      <c r="X178" s="434"/>
    </row>
    <row r="179" spans="1:24" ht="12">
      <c r="A179" s="718" t="s">
        <v>655</v>
      </c>
      <c r="B179" s="719" t="s">
        <v>580</v>
      </c>
      <c r="C179" s="720"/>
      <c r="D179" s="718"/>
      <c r="E179" s="718"/>
      <c r="F179" s="718"/>
      <c r="G179" s="721"/>
      <c r="H179" s="721"/>
      <c r="I179" s="721"/>
      <c r="J179" s="721">
        <f>+J180</f>
        <v>281.873</v>
      </c>
      <c r="K179" s="721"/>
      <c r="L179" s="721"/>
      <c r="M179" s="721">
        <f>+M180</f>
        <v>290</v>
      </c>
      <c r="N179" s="721"/>
      <c r="O179" s="721"/>
      <c r="P179" s="721">
        <f>+P180</f>
        <v>281.873</v>
      </c>
      <c r="Q179" s="721"/>
      <c r="R179" s="721"/>
      <c r="S179" s="721">
        <f>+S180</f>
        <v>281.873</v>
      </c>
      <c r="T179" s="721"/>
      <c r="U179" s="721"/>
      <c r="V179" s="721"/>
      <c r="W179" s="721"/>
      <c r="X179" s="721"/>
    </row>
    <row r="180" spans="1:24" ht="12">
      <c r="A180" s="425">
        <v>20</v>
      </c>
      <c r="B180" s="426" t="s">
        <v>858</v>
      </c>
      <c r="C180" s="424"/>
      <c r="D180" s="425"/>
      <c r="E180" s="425"/>
      <c r="F180" s="425"/>
      <c r="G180" s="434"/>
      <c r="H180" s="434"/>
      <c r="I180" s="434"/>
      <c r="J180" s="434">
        <v>281.873</v>
      </c>
      <c r="K180" s="434"/>
      <c r="L180" s="434"/>
      <c r="M180" s="434">
        <v>290</v>
      </c>
      <c r="N180" s="434"/>
      <c r="O180" s="434"/>
      <c r="P180" s="434">
        <v>281.873</v>
      </c>
      <c r="Q180" s="434"/>
      <c r="R180" s="434"/>
      <c r="S180" s="434">
        <v>281.873</v>
      </c>
      <c r="T180" s="434"/>
      <c r="U180" s="434"/>
      <c r="V180" s="434"/>
      <c r="W180" s="434"/>
      <c r="X180" s="434"/>
    </row>
    <row r="181" spans="1:24" ht="12">
      <c r="A181" s="718" t="s">
        <v>656</v>
      </c>
      <c r="B181" s="719" t="s">
        <v>553</v>
      </c>
      <c r="C181" s="720"/>
      <c r="D181" s="718"/>
      <c r="E181" s="718"/>
      <c r="F181" s="718"/>
      <c r="G181" s="721"/>
      <c r="H181" s="721"/>
      <c r="I181" s="721"/>
      <c r="J181" s="721">
        <f>+J182</f>
        <v>249.981</v>
      </c>
      <c r="K181" s="721"/>
      <c r="L181" s="721"/>
      <c r="M181" s="721">
        <f>+M182</f>
        <v>250</v>
      </c>
      <c r="N181" s="721"/>
      <c r="O181" s="721"/>
      <c r="P181" s="721">
        <f>+P182</f>
        <v>249.981</v>
      </c>
      <c r="Q181" s="721"/>
      <c r="R181" s="721"/>
      <c r="S181" s="721">
        <f>+S182</f>
        <v>249.981</v>
      </c>
      <c r="T181" s="721"/>
      <c r="U181" s="721"/>
      <c r="V181" s="721"/>
      <c r="W181" s="721"/>
      <c r="X181" s="721"/>
    </row>
    <row r="182" spans="1:24" ht="12">
      <c r="A182" s="425">
        <v>21</v>
      </c>
      <c r="B182" s="426" t="s">
        <v>859</v>
      </c>
      <c r="C182" s="424"/>
      <c r="D182" s="425"/>
      <c r="E182" s="425"/>
      <c r="F182" s="425"/>
      <c r="G182" s="434"/>
      <c r="H182" s="434"/>
      <c r="I182" s="434"/>
      <c r="J182" s="434">
        <v>249.981</v>
      </c>
      <c r="K182" s="434"/>
      <c r="L182" s="434"/>
      <c r="M182" s="434">
        <v>250</v>
      </c>
      <c r="N182" s="434"/>
      <c r="O182" s="434"/>
      <c r="P182" s="434">
        <v>249.981</v>
      </c>
      <c r="Q182" s="434"/>
      <c r="R182" s="434"/>
      <c r="S182" s="434">
        <v>249.981</v>
      </c>
      <c r="T182" s="434"/>
      <c r="U182" s="434"/>
      <c r="V182" s="434"/>
      <c r="W182" s="434"/>
      <c r="X182" s="434"/>
    </row>
    <row r="183" spans="1:24" ht="12">
      <c r="A183" s="718" t="s">
        <v>561</v>
      </c>
      <c r="B183" s="719" t="s">
        <v>860</v>
      </c>
      <c r="C183" s="720"/>
      <c r="D183" s="718"/>
      <c r="E183" s="718"/>
      <c r="F183" s="718"/>
      <c r="G183" s="721"/>
      <c r="H183" s="721"/>
      <c r="I183" s="721"/>
      <c r="J183" s="721">
        <f>+SUM(J184:J188)</f>
        <v>291.245</v>
      </c>
      <c r="K183" s="721"/>
      <c r="L183" s="721"/>
      <c r="M183" s="721">
        <f>+SUM(M184:M188)</f>
        <v>100</v>
      </c>
      <c r="N183" s="721"/>
      <c r="O183" s="721"/>
      <c r="P183" s="721">
        <f>+SUM(P184:P188)</f>
        <v>291.245</v>
      </c>
      <c r="Q183" s="721"/>
      <c r="R183" s="721"/>
      <c r="S183" s="721">
        <f>+SUM(S184:S188)</f>
        <v>291.245</v>
      </c>
      <c r="T183" s="721"/>
      <c r="U183" s="721"/>
      <c r="V183" s="721"/>
      <c r="W183" s="721"/>
      <c r="X183" s="721"/>
    </row>
    <row r="184" spans="1:24" ht="12">
      <c r="A184" s="425">
        <v>22</v>
      </c>
      <c r="B184" s="426" t="s">
        <v>861</v>
      </c>
      <c r="C184" s="424"/>
      <c r="D184" s="425"/>
      <c r="E184" s="425"/>
      <c r="F184" s="425"/>
      <c r="G184" s="434"/>
      <c r="H184" s="434"/>
      <c r="I184" s="434"/>
      <c r="J184" s="434"/>
      <c r="K184" s="434"/>
      <c r="L184" s="434"/>
      <c r="M184" s="434"/>
      <c r="N184" s="434"/>
      <c r="O184" s="434"/>
      <c r="P184" s="434"/>
      <c r="Q184" s="434"/>
      <c r="R184" s="434"/>
      <c r="S184" s="434"/>
      <c r="T184" s="434"/>
      <c r="U184" s="434"/>
      <c r="V184" s="434"/>
      <c r="W184" s="434"/>
      <c r="X184" s="434"/>
    </row>
    <row r="185" spans="1:24" ht="12">
      <c r="A185" s="425">
        <v>23</v>
      </c>
      <c r="B185" s="426" t="s">
        <v>862</v>
      </c>
      <c r="C185" s="424"/>
      <c r="D185" s="425"/>
      <c r="E185" s="425"/>
      <c r="F185" s="425"/>
      <c r="G185" s="434"/>
      <c r="H185" s="434"/>
      <c r="I185" s="434"/>
      <c r="J185" s="434">
        <v>202.788</v>
      </c>
      <c r="K185" s="434"/>
      <c r="L185" s="434"/>
      <c r="M185" s="434">
        <v>50</v>
      </c>
      <c r="N185" s="434"/>
      <c r="O185" s="434"/>
      <c r="P185" s="434">
        <v>202.788</v>
      </c>
      <c r="Q185" s="434"/>
      <c r="R185" s="434"/>
      <c r="S185" s="434">
        <v>202.788</v>
      </c>
      <c r="T185" s="434"/>
      <c r="U185" s="434"/>
      <c r="V185" s="434"/>
      <c r="W185" s="434"/>
      <c r="X185" s="434"/>
    </row>
    <row r="186" spans="1:24" ht="12">
      <c r="A186" s="425">
        <v>24</v>
      </c>
      <c r="B186" s="426" t="s">
        <v>863</v>
      </c>
      <c r="C186" s="424"/>
      <c r="D186" s="425"/>
      <c r="E186" s="425"/>
      <c r="F186" s="425"/>
      <c r="G186" s="434"/>
      <c r="H186" s="434"/>
      <c r="I186" s="434"/>
      <c r="J186" s="434">
        <v>88.457</v>
      </c>
      <c r="K186" s="434"/>
      <c r="L186" s="434"/>
      <c r="M186" s="434">
        <v>50</v>
      </c>
      <c r="N186" s="434"/>
      <c r="O186" s="434"/>
      <c r="P186" s="434">
        <v>88.457</v>
      </c>
      <c r="Q186" s="434"/>
      <c r="R186" s="434"/>
      <c r="S186" s="434">
        <v>88.457</v>
      </c>
      <c r="T186" s="434"/>
      <c r="U186" s="434"/>
      <c r="V186" s="434"/>
      <c r="W186" s="434"/>
      <c r="X186" s="434"/>
    </row>
    <row r="187" spans="1:24" ht="12">
      <c r="A187" s="425">
        <v>25</v>
      </c>
      <c r="B187" s="426" t="s">
        <v>864</v>
      </c>
      <c r="C187" s="424"/>
      <c r="D187" s="425"/>
      <c r="E187" s="425"/>
      <c r="F187" s="425"/>
      <c r="G187" s="434"/>
      <c r="H187" s="434"/>
      <c r="I187" s="434"/>
      <c r="J187" s="434"/>
      <c r="K187" s="434"/>
      <c r="L187" s="434"/>
      <c r="M187" s="434"/>
      <c r="N187" s="434"/>
      <c r="O187" s="434"/>
      <c r="P187" s="434"/>
      <c r="Q187" s="434"/>
      <c r="R187" s="434"/>
      <c r="S187" s="434"/>
      <c r="T187" s="434"/>
      <c r="U187" s="434"/>
      <c r="V187" s="434"/>
      <c r="W187" s="434"/>
      <c r="X187" s="434"/>
    </row>
    <row r="188" spans="1:24" ht="12">
      <c r="A188" s="425">
        <v>26</v>
      </c>
      <c r="B188" s="426" t="s">
        <v>865</v>
      </c>
      <c r="C188" s="424"/>
      <c r="D188" s="425"/>
      <c r="E188" s="425"/>
      <c r="F188" s="425"/>
      <c r="G188" s="434"/>
      <c r="H188" s="434"/>
      <c r="I188" s="434"/>
      <c r="J188" s="434"/>
      <c r="K188" s="434"/>
      <c r="L188" s="434"/>
      <c r="M188" s="434"/>
      <c r="N188" s="434"/>
      <c r="O188" s="434"/>
      <c r="P188" s="434"/>
      <c r="Q188" s="434"/>
      <c r="R188" s="434"/>
      <c r="S188" s="434"/>
      <c r="T188" s="434"/>
      <c r="U188" s="434"/>
      <c r="V188" s="434"/>
      <c r="W188" s="434"/>
      <c r="X188" s="434"/>
    </row>
    <row r="189" spans="1:24" ht="80.25">
      <c r="A189" s="427" t="s">
        <v>692</v>
      </c>
      <c r="B189" s="435" t="s">
        <v>866</v>
      </c>
      <c r="C189" s="424"/>
      <c r="D189" s="425"/>
      <c r="E189" s="425"/>
      <c r="F189" s="425"/>
      <c r="G189" s="434">
        <f>+G190+G205</f>
        <v>67217</v>
      </c>
      <c r="H189" s="434"/>
      <c r="I189" s="434"/>
      <c r="J189" s="434">
        <f>+J190+J205</f>
        <v>51616.619999999995</v>
      </c>
      <c r="K189" s="434"/>
      <c r="L189" s="434"/>
      <c r="M189" s="434">
        <f>+M190+M205</f>
        <v>47923.225</v>
      </c>
      <c r="N189" s="434"/>
      <c r="O189" s="434"/>
      <c r="P189" s="434">
        <f>+P190+P205</f>
        <v>31104.8</v>
      </c>
      <c r="Q189" s="434"/>
      <c r="R189" s="434"/>
      <c r="S189" s="434">
        <f>+S190+S205</f>
        <v>28347.729</v>
      </c>
      <c r="T189" s="434"/>
      <c r="U189" s="434"/>
      <c r="V189" s="434"/>
      <c r="W189" s="434"/>
      <c r="X189" s="434"/>
    </row>
    <row r="190" spans="1:24" ht="12">
      <c r="A190" s="427"/>
      <c r="B190" s="428" t="s">
        <v>672</v>
      </c>
      <c r="C190" s="424"/>
      <c r="D190" s="425"/>
      <c r="E190" s="425"/>
      <c r="F190" s="425"/>
      <c r="G190" s="434">
        <f>+G191</f>
        <v>65749</v>
      </c>
      <c r="H190" s="434"/>
      <c r="I190" s="434"/>
      <c r="J190" s="434">
        <f>+J191</f>
        <v>50545.890999999996</v>
      </c>
      <c r="K190" s="434"/>
      <c r="L190" s="434"/>
      <c r="M190" s="434">
        <f>+M191</f>
        <v>46852.496</v>
      </c>
      <c r="N190" s="434"/>
      <c r="O190" s="434"/>
      <c r="P190" s="434">
        <f>+P191</f>
        <v>27567</v>
      </c>
      <c r="Q190" s="434"/>
      <c r="R190" s="434"/>
      <c r="S190" s="434">
        <f>+S191</f>
        <v>27567</v>
      </c>
      <c r="T190" s="434"/>
      <c r="U190" s="434"/>
      <c r="V190" s="434"/>
      <c r="W190" s="434"/>
      <c r="X190" s="434"/>
    </row>
    <row r="191" spans="1:24" ht="12">
      <c r="A191" s="718" t="s">
        <v>639</v>
      </c>
      <c r="B191" s="719" t="s">
        <v>640</v>
      </c>
      <c r="C191" s="720"/>
      <c r="D191" s="718"/>
      <c r="E191" s="718"/>
      <c r="F191" s="718"/>
      <c r="G191" s="721">
        <f>+G192+G200+G203</f>
        <v>65749</v>
      </c>
      <c r="H191" s="721"/>
      <c r="I191" s="721"/>
      <c r="J191" s="721">
        <f>+J192+J200+J203</f>
        <v>50545.890999999996</v>
      </c>
      <c r="K191" s="721"/>
      <c r="L191" s="721"/>
      <c r="M191" s="721">
        <f>+M192+M200+M203</f>
        <v>46852.496</v>
      </c>
      <c r="N191" s="721"/>
      <c r="O191" s="721"/>
      <c r="P191" s="721">
        <f>+P192+P200+P203</f>
        <v>27567</v>
      </c>
      <c r="Q191" s="721"/>
      <c r="R191" s="721"/>
      <c r="S191" s="721">
        <f>+S192+S200+S203</f>
        <v>27567</v>
      </c>
      <c r="T191" s="721"/>
      <c r="U191" s="721"/>
      <c r="V191" s="721"/>
      <c r="W191" s="721"/>
      <c r="X191" s="721"/>
    </row>
    <row r="192" spans="1:24" ht="12">
      <c r="A192" s="718" t="s">
        <v>561</v>
      </c>
      <c r="B192" s="719" t="s">
        <v>694</v>
      </c>
      <c r="C192" s="720"/>
      <c r="D192" s="718"/>
      <c r="E192" s="718"/>
      <c r="F192" s="718"/>
      <c r="G192" s="721">
        <f>+SUM(G193:G199)</f>
        <v>46266</v>
      </c>
      <c r="H192" s="721"/>
      <c r="I192" s="721"/>
      <c r="J192" s="721">
        <f>+SUM(J193:J199)</f>
        <v>37891.181</v>
      </c>
      <c r="K192" s="721"/>
      <c r="L192" s="721"/>
      <c r="M192" s="721">
        <f>+SUM(M193:M199)</f>
        <v>34712.496</v>
      </c>
      <c r="N192" s="721"/>
      <c r="O192" s="721"/>
      <c r="P192" s="721">
        <f>+SUM(P193:P199)</f>
        <v>18087</v>
      </c>
      <c r="Q192" s="721"/>
      <c r="R192" s="721"/>
      <c r="S192" s="721">
        <f>+SUM(S193:S199)</f>
        <v>18087</v>
      </c>
      <c r="T192" s="721"/>
      <c r="U192" s="721"/>
      <c r="V192" s="721"/>
      <c r="W192" s="721"/>
      <c r="X192" s="721"/>
    </row>
    <row r="193" spans="1:24" ht="12">
      <c r="A193" s="425">
        <v>1</v>
      </c>
      <c r="B193" s="426" t="s">
        <v>695</v>
      </c>
      <c r="C193" s="424"/>
      <c r="D193" s="425"/>
      <c r="E193" s="425"/>
      <c r="F193" s="425"/>
      <c r="G193" s="434">
        <v>10000</v>
      </c>
      <c r="H193" s="434"/>
      <c r="I193" s="434"/>
      <c r="J193" s="434">
        <v>9742.839</v>
      </c>
      <c r="K193" s="434"/>
      <c r="L193" s="434"/>
      <c r="M193" s="434">
        <v>9624</v>
      </c>
      <c r="N193" s="434"/>
      <c r="O193" s="434"/>
      <c r="P193" s="434">
        <v>2144</v>
      </c>
      <c r="Q193" s="434"/>
      <c r="R193" s="434"/>
      <c r="S193" s="434">
        <v>2144</v>
      </c>
      <c r="T193" s="434"/>
      <c r="U193" s="434"/>
      <c r="V193" s="434"/>
      <c r="W193" s="434"/>
      <c r="X193" s="434"/>
    </row>
    <row r="194" spans="1:24" ht="12">
      <c r="A194" s="425">
        <v>2</v>
      </c>
      <c r="B194" s="426" t="s">
        <v>867</v>
      </c>
      <c r="C194" s="424"/>
      <c r="D194" s="425"/>
      <c r="E194" s="425"/>
      <c r="F194" s="425"/>
      <c r="G194" s="434">
        <v>1948</v>
      </c>
      <c r="H194" s="434"/>
      <c r="I194" s="434"/>
      <c r="J194" s="434">
        <v>1740</v>
      </c>
      <c r="K194" s="434"/>
      <c r="L194" s="434"/>
      <c r="M194" s="434">
        <v>1940</v>
      </c>
      <c r="N194" s="434"/>
      <c r="O194" s="434"/>
      <c r="P194" s="434">
        <v>1669</v>
      </c>
      <c r="Q194" s="434"/>
      <c r="R194" s="434"/>
      <c r="S194" s="434">
        <v>1669</v>
      </c>
      <c r="T194" s="434"/>
      <c r="U194" s="434"/>
      <c r="V194" s="434"/>
      <c r="W194" s="434"/>
      <c r="X194" s="434"/>
    </row>
    <row r="195" spans="1:24" ht="12">
      <c r="A195" s="425">
        <v>3</v>
      </c>
      <c r="B195" s="426" t="s">
        <v>868</v>
      </c>
      <c r="C195" s="424"/>
      <c r="D195" s="425"/>
      <c r="E195" s="425"/>
      <c r="F195" s="425"/>
      <c r="G195" s="434">
        <v>2888</v>
      </c>
      <c r="H195" s="434"/>
      <c r="I195" s="434"/>
      <c r="J195" s="434">
        <v>2685</v>
      </c>
      <c r="K195" s="434"/>
      <c r="L195" s="434"/>
      <c r="M195" s="434">
        <v>2888</v>
      </c>
      <c r="N195" s="434"/>
      <c r="O195" s="434"/>
      <c r="P195" s="434">
        <v>2555</v>
      </c>
      <c r="Q195" s="434"/>
      <c r="R195" s="434"/>
      <c r="S195" s="434">
        <v>2555</v>
      </c>
      <c r="T195" s="434"/>
      <c r="U195" s="434"/>
      <c r="V195" s="434"/>
      <c r="W195" s="434"/>
      <c r="X195" s="434"/>
    </row>
    <row r="196" spans="1:24" ht="12">
      <c r="A196" s="425">
        <v>4</v>
      </c>
      <c r="B196" s="426" t="s">
        <v>698</v>
      </c>
      <c r="C196" s="424"/>
      <c r="D196" s="425"/>
      <c r="E196" s="425"/>
      <c r="F196" s="425"/>
      <c r="G196" s="434">
        <v>4515</v>
      </c>
      <c r="H196" s="434"/>
      <c r="I196" s="434"/>
      <c r="J196" s="434">
        <v>4098.089</v>
      </c>
      <c r="K196" s="434"/>
      <c r="L196" s="434"/>
      <c r="M196" s="434">
        <v>4415</v>
      </c>
      <c r="N196" s="434"/>
      <c r="O196" s="434"/>
      <c r="P196" s="434">
        <v>2202</v>
      </c>
      <c r="Q196" s="434"/>
      <c r="R196" s="434"/>
      <c r="S196" s="434">
        <v>2202</v>
      </c>
      <c r="T196" s="434"/>
      <c r="U196" s="434"/>
      <c r="V196" s="434"/>
      <c r="W196" s="434"/>
      <c r="X196" s="434"/>
    </row>
    <row r="197" spans="1:24" ht="12">
      <c r="A197" s="425">
        <v>5</v>
      </c>
      <c r="B197" s="426" t="s">
        <v>699</v>
      </c>
      <c r="C197" s="424"/>
      <c r="D197" s="425"/>
      <c r="E197" s="425"/>
      <c r="F197" s="425"/>
      <c r="G197" s="434">
        <v>2415</v>
      </c>
      <c r="H197" s="434"/>
      <c r="I197" s="434"/>
      <c r="J197" s="434">
        <v>2186.826</v>
      </c>
      <c r="K197" s="434"/>
      <c r="L197" s="434"/>
      <c r="M197" s="434">
        <v>2365</v>
      </c>
      <c r="N197" s="434"/>
      <c r="O197" s="434"/>
      <c r="P197" s="434">
        <v>1132</v>
      </c>
      <c r="Q197" s="434"/>
      <c r="R197" s="434"/>
      <c r="S197" s="434">
        <v>1132</v>
      </c>
      <c r="T197" s="434"/>
      <c r="U197" s="434"/>
      <c r="V197" s="434"/>
      <c r="W197" s="434"/>
      <c r="X197" s="434"/>
    </row>
    <row r="198" spans="1:24" ht="12">
      <c r="A198" s="425">
        <v>8</v>
      </c>
      <c r="B198" s="426" t="s">
        <v>702</v>
      </c>
      <c r="C198" s="424"/>
      <c r="D198" s="425"/>
      <c r="E198" s="425"/>
      <c r="F198" s="425"/>
      <c r="G198" s="434">
        <v>12000</v>
      </c>
      <c r="H198" s="434"/>
      <c r="I198" s="434"/>
      <c r="J198" s="434">
        <v>9608.295</v>
      </c>
      <c r="K198" s="434"/>
      <c r="L198" s="434"/>
      <c r="M198" s="434">
        <v>6892</v>
      </c>
      <c r="N198" s="434"/>
      <c r="O198" s="434"/>
      <c r="P198" s="434">
        <v>3938</v>
      </c>
      <c r="Q198" s="434"/>
      <c r="R198" s="434"/>
      <c r="S198" s="434">
        <v>3938</v>
      </c>
      <c r="T198" s="434"/>
      <c r="U198" s="434"/>
      <c r="V198" s="434"/>
      <c r="W198" s="434"/>
      <c r="X198" s="434"/>
    </row>
    <row r="199" spans="1:24" ht="12">
      <c r="A199" s="425">
        <v>9</v>
      </c>
      <c r="B199" s="426" t="s">
        <v>703</v>
      </c>
      <c r="C199" s="424"/>
      <c r="D199" s="425"/>
      <c r="E199" s="425"/>
      <c r="F199" s="425"/>
      <c r="G199" s="434">
        <v>12500</v>
      </c>
      <c r="H199" s="434"/>
      <c r="I199" s="434"/>
      <c r="J199" s="434">
        <v>7830.132</v>
      </c>
      <c r="K199" s="434"/>
      <c r="L199" s="434"/>
      <c r="M199" s="434">
        <v>6588.496</v>
      </c>
      <c r="N199" s="434"/>
      <c r="O199" s="434"/>
      <c r="P199" s="434">
        <v>4447</v>
      </c>
      <c r="Q199" s="434"/>
      <c r="R199" s="434"/>
      <c r="S199" s="434">
        <v>4447</v>
      </c>
      <c r="T199" s="434"/>
      <c r="U199" s="434"/>
      <c r="V199" s="434"/>
      <c r="W199" s="434"/>
      <c r="X199" s="434"/>
    </row>
    <row r="200" spans="1:24" ht="12">
      <c r="A200" s="718" t="s">
        <v>561</v>
      </c>
      <c r="B200" s="719" t="s">
        <v>705</v>
      </c>
      <c r="C200" s="720"/>
      <c r="D200" s="718"/>
      <c r="E200" s="718"/>
      <c r="F200" s="718"/>
      <c r="G200" s="721">
        <f>+SUM(G201:G202)</f>
        <v>6858</v>
      </c>
      <c r="H200" s="721"/>
      <c r="I200" s="721"/>
      <c r="J200" s="721">
        <f>+SUM(J201:J202)</f>
        <v>6293.773000000001</v>
      </c>
      <c r="K200" s="721"/>
      <c r="L200" s="721"/>
      <c r="M200" s="721">
        <f>+SUM(M201:M202)</f>
        <v>6158</v>
      </c>
      <c r="N200" s="721"/>
      <c r="O200" s="721"/>
      <c r="P200" s="721">
        <f>+SUM(P201:P202)</f>
        <v>3498</v>
      </c>
      <c r="Q200" s="721"/>
      <c r="R200" s="721"/>
      <c r="S200" s="721">
        <f>+SUM(S201:S202)</f>
        <v>3498</v>
      </c>
      <c r="T200" s="721"/>
      <c r="U200" s="721"/>
      <c r="V200" s="721"/>
      <c r="W200" s="721"/>
      <c r="X200" s="721"/>
    </row>
    <row r="201" spans="1:24" ht="12">
      <c r="A201" s="425">
        <v>1</v>
      </c>
      <c r="B201" s="426" t="s">
        <v>706</v>
      </c>
      <c r="C201" s="424"/>
      <c r="D201" s="425"/>
      <c r="E201" s="425"/>
      <c r="F201" s="425"/>
      <c r="G201" s="434">
        <v>4358</v>
      </c>
      <c r="H201" s="434"/>
      <c r="I201" s="434"/>
      <c r="J201" s="434">
        <v>4150.02</v>
      </c>
      <c r="K201" s="434"/>
      <c r="L201" s="434"/>
      <c r="M201" s="434">
        <v>4102</v>
      </c>
      <c r="N201" s="434"/>
      <c r="O201" s="434"/>
      <c r="P201" s="434">
        <v>2332</v>
      </c>
      <c r="Q201" s="434"/>
      <c r="R201" s="434"/>
      <c r="S201" s="434">
        <v>2332</v>
      </c>
      <c r="T201" s="434"/>
      <c r="U201" s="434"/>
      <c r="V201" s="434"/>
      <c r="W201" s="434"/>
      <c r="X201" s="434"/>
    </row>
    <row r="202" spans="1:24" ht="12">
      <c r="A202" s="425">
        <v>2</v>
      </c>
      <c r="B202" s="426" t="s">
        <v>707</v>
      </c>
      <c r="C202" s="424"/>
      <c r="D202" s="425"/>
      <c r="E202" s="425"/>
      <c r="F202" s="425"/>
      <c r="G202" s="434">
        <v>2500</v>
      </c>
      <c r="H202" s="434"/>
      <c r="I202" s="434"/>
      <c r="J202" s="434">
        <v>2143.753</v>
      </c>
      <c r="K202" s="434"/>
      <c r="L202" s="434"/>
      <c r="M202" s="434">
        <v>2056</v>
      </c>
      <c r="N202" s="434"/>
      <c r="O202" s="434"/>
      <c r="P202" s="434">
        <v>1166</v>
      </c>
      <c r="Q202" s="434"/>
      <c r="R202" s="434"/>
      <c r="S202" s="434">
        <v>1166</v>
      </c>
      <c r="T202" s="434"/>
      <c r="U202" s="434"/>
      <c r="V202" s="434"/>
      <c r="W202" s="434"/>
      <c r="X202" s="434"/>
    </row>
    <row r="203" spans="1:24" ht="12">
      <c r="A203" s="718" t="s">
        <v>561</v>
      </c>
      <c r="B203" s="719" t="s">
        <v>708</v>
      </c>
      <c r="C203" s="720"/>
      <c r="D203" s="718"/>
      <c r="E203" s="718"/>
      <c r="F203" s="718"/>
      <c r="G203" s="721">
        <f>+G204</f>
        <v>12625</v>
      </c>
      <c r="H203" s="721"/>
      <c r="I203" s="721"/>
      <c r="J203" s="721">
        <f>+J204</f>
        <v>6360.937</v>
      </c>
      <c r="K203" s="721"/>
      <c r="L203" s="721"/>
      <c r="M203" s="721">
        <f>+M204</f>
        <v>5982</v>
      </c>
      <c r="N203" s="721"/>
      <c r="O203" s="721"/>
      <c r="P203" s="721">
        <f>+P204</f>
        <v>5982</v>
      </c>
      <c r="Q203" s="721"/>
      <c r="R203" s="721"/>
      <c r="S203" s="721">
        <f>+S204</f>
        <v>5982</v>
      </c>
      <c r="T203" s="721"/>
      <c r="U203" s="721"/>
      <c r="V203" s="721"/>
      <c r="W203" s="721"/>
      <c r="X203" s="721"/>
    </row>
    <row r="204" spans="1:24" ht="12">
      <c r="A204" s="425">
        <v>1</v>
      </c>
      <c r="B204" s="426" t="s">
        <v>826</v>
      </c>
      <c r="C204" s="424"/>
      <c r="D204" s="425"/>
      <c r="E204" s="425"/>
      <c r="F204" s="425"/>
      <c r="G204" s="434">
        <v>12625</v>
      </c>
      <c r="H204" s="434"/>
      <c r="I204" s="434"/>
      <c r="J204" s="434">
        <v>6360.937</v>
      </c>
      <c r="K204" s="434"/>
      <c r="L204" s="434"/>
      <c r="M204" s="434">
        <v>5982</v>
      </c>
      <c r="N204" s="434"/>
      <c r="O204" s="434"/>
      <c r="P204" s="434">
        <v>5982</v>
      </c>
      <c r="Q204" s="434"/>
      <c r="R204" s="434"/>
      <c r="S204" s="434">
        <v>5982</v>
      </c>
      <c r="T204" s="434"/>
      <c r="U204" s="434"/>
      <c r="V204" s="434"/>
      <c r="W204" s="434"/>
      <c r="X204" s="434"/>
    </row>
    <row r="205" spans="1:24" ht="12">
      <c r="A205" s="427"/>
      <c r="B205" s="428" t="s">
        <v>667</v>
      </c>
      <c r="C205" s="424"/>
      <c r="D205" s="425"/>
      <c r="E205" s="425"/>
      <c r="F205" s="425"/>
      <c r="G205" s="434">
        <v>1468</v>
      </c>
      <c r="H205" s="434"/>
      <c r="I205" s="434"/>
      <c r="J205" s="429">
        <v>1070.729</v>
      </c>
      <c r="K205" s="434"/>
      <c r="L205" s="434"/>
      <c r="M205" s="429">
        <v>1070.729</v>
      </c>
      <c r="N205" s="434"/>
      <c r="O205" s="434"/>
      <c r="P205" s="434">
        <v>3537.8</v>
      </c>
      <c r="Q205" s="434"/>
      <c r="R205" s="434"/>
      <c r="S205" s="434">
        <v>780.729</v>
      </c>
      <c r="T205" s="434"/>
      <c r="U205" s="434"/>
      <c r="V205" s="434"/>
      <c r="W205" s="434"/>
      <c r="X205" s="434"/>
    </row>
    <row r="206" spans="1:24" ht="12">
      <c r="A206" s="718" t="s">
        <v>561</v>
      </c>
      <c r="B206" s="719" t="s">
        <v>568</v>
      </c>
      <c r="C206" s="720"/>
      <c r="D206" s="718"/>
      <c r="E206" s="718"/>
      <c r="F206" s="718"/>
      <c r="G206" s="721">
        <f>+G208+G210+G212</f>
        <v>1896</v>
      </c>
      <c r="H206" s="721"/>
      <c r="I206" s="721"/>
      <c r="J206" s="721">
        <f>+J208+J210+J212</f>
        <v>1237</v>
      </c>
      <c r="K206" s="721"/>
      <c r="L206" s="721"/>
      <c r="M206" s="721">
        <f>+M208+M210+M212</f>
        <v>1896</v>
      </c>
      <c r="N206" s="721"/>
      <c r="O206" s="721"/>
      <c r="P206" s="721">
        <f>+P208+P210+P212</f>
        <v>1896</v>
      </c>
      <c r="Q206" s="721"/>
      <c r="R206" s="721"/>
      <c r="S206" s="721">
        <f>+S208+S210+S212</f>
        <v>1237</v>
      </c>
      <c r="T206" s="721"/>
      <c r="U206" s="721"/>
      <c r="V206" s="721"/>
      <c r="W206" s="721"/>
      <c r="X206" s="721"/>
    </row>
    <row r="207" spans="1:24" ht="12">
      <c r="A207" s="425"/>
      <c r="B207" s="426" t="s">
        <v>709</v>
      </c>
      <c r="C207" s="424"/>
      <c r="D207" s="425"/>
      <c r="E207" s="425"/>
      <c r="F207" s="425"/>
      <c r="G207" s="434"/>
      <c r="H207" s="434"/>
      <c r="I207" s="434"/>
      <c r="J207" s="434"/>
      <c r="K207" s="434"/>
      <c r="L207" s="434"/>
      <c r="M207" s="434"/>
      <c r="N207" s="434"/>
      <c r="O207" s="434"/>
      <c r="P207" s="434"/>
      <c r="Q207" s="434"/>
      <c r="R207" s="434"/>
      <c r="S207" s="434"/>
      <c r="T207" s="434"/>
      <c r="U207" s="434"/>
      <c r="V207" s="434"/>
      <c r="W207" s="434"/>
      <c r="X207" s="434"/>
    </row>
    <row r="208" spans="1:24" ht="12">
      <c r="A208" s="425" t="s">
        <v>639</v>
      </c>
      <c r="B208" s="426" t="s">
        <v>557</v>
      </c>
      <c r="C208" s="424"/>
      <c r="D208" s="425"/>
      <c r="E208" s="425"/>
      <c r="F208" s="425"/>
      <c r="G208" s="434">
        <f>+G209</f>
        <v>632</v>
      </c>
      <c r="H208" s="434"/>
      <c r="I208" s="434"/>
      <c r="J208" s="434">
        <v>398</v>
      </c>
      <c r="K208" s="434"/>
      <c r="L208" s="434"/>
      <c r="M208" s="434">
        <f>+M209</f>
        <v>632</v>
      </c>
      <c r="N208" s="434"/>
      <c r="O208" s="434"/>
      <c r="P208" s="434">
        <v>632</v>
      </c>
      <c r="Q208" s="434"/>
      <c r="R208" s="434"/>
      <c r="S208" s="434">
        <v>398</v>
      </c>
      <c r="T208" s="434"/>
      <c r="U208" s="434"/>
      <c r="V208" s="434"/>
      <c r="W208" s="434"/>
      <c r="X208" s="434"/>
    </row>
    <row r="209" spans="1:24" ht="12">
      <c r="A209" s="425">
        <v>2</v>
      </c>
      <c r="B209" s="426" t="s">
        <v>869</v>
      </c>
      <c r="C209" s="424"/>
      <c r="D209" s="425"/>
      <c r="E209" s="425"/>
      <c r="F209" s="425"/>
      <c r="G209" s="434">
        <v>632</v>
      </c>
      <c r="H209" s="434"/>
      <c r="I209" s="434"/>
      <c r="J209" s="434">
        <v>398</v>
      </c>
      <c r="K209" s="434"/>
      <c r="L209" s="434"/>
      <c r="M209" s="434">
        <v>632</v>
      </c>
      <c r="N209" s="434"/>
      <c r="O209" s="434"/>
      <c r="P209" s="434">
        <v>632</v>
      </c>
      <c r="Q209" s="434"/>
      <c r="R209" s="434"/>
      <c r="S209" s="434">
        <v>398</v>
      </c>
      <c r="T209" s="434"/>
      <c r="U209" s="434"/>
      <c r="V209" s="434"/>
      <c r="W209" s="434"/>
      <c r="X209" s="434"/>
    </row>
    <row r="210" spans="1:24" ht="12">
      <c r="A210" s="425" t="s">
        <v>649</v>
      </c>
      <c r="B210" s="426" t="s">
        <v>551</v>
      </c>
      <c r="C210" s="424"/>
      <c r="D210" s="425"/>
      <c r="E210" s="425"/>
      <c r="F210" s="425"/>
      <c r="G210" s="434">
        <f>+G211</f>
        <v>632</v>
      </c>
      <c r="H210" s="434"/>
      <c r="I210" s="434"/>
      <c r="J210" s="434">
        <v>422</v>
      </c>
      <c r="K210" s="434"/>
      <c r="L210" s="434"/>
      <c r="M210" s="434">
        <f>+M211</f>
        <v>632</v>
      </c>
      <c r="N210" s="434"/>
      <c r="O210" s="434"/>
      <c r="P210" s="434">
        <f>+P211</f>
        <v>632</v>
      </c>
      <c r="Q210" s="434"/>
      <c r="R210" s="434"/>
      <c r="S210" s="434">
        <f>+S211</f>
        <v>422</v>
      </c>
      <c r="T210" s="434"/>
      <c r="U210" s="434"/>
      <c r="V210" s="434"/>
      <c r="W210" s="434"/>
      <c r="X210" s="434"/>
    </row>
    <row r="211" spans="1:24" ht="12">
      <c r="A211" s="425">
        <v>3</v>
      </c>
      <c r="B211" s="426" t="s">
        <v>870</v>
      </c>
      <c r="C211" s="424"/>
      <c r="D211" s="425"/>
      <c r="E211" s="425"/>
      <c r="F211" s="425"/>
      <c r="G211" s="434">
        <v>632</v>
      </c>
      <c r="H211" s="434"/>
      <c r="I211" s="434"/>
      <c r="J211" s="434">
        <v>422</v>
      </c>
      <c r="K211" s="434"/>
      <c r="L211" s="434"/>
      <c r="M211" s="434">
        <v>632</v>
      </c>
      <c r="N211" s="434"/>
      <c r="O211" s="434"/>
      <c r="P211" s="434">
        <v>632</v>
      </c>
      <c r="Q211" s="434"/>
      <c r="R211" s="434"/>
      <c r="S211" s="434">
        <v>422</v>
      </c>
      <c r="T211" s="434"/>
      <c r="U211" s="434"/>
      <c r="V211" s="434"/>
      <c r="W211" s="434"/>
      <c r="X211" s="434"/>
    </row>
    <row r="212" spans="1:24" ht="12">
      <c r="A212" s="425" t="s">
        <v>655</v>
      </c>
      <c r="B212" s="426" t="s">
        <v>552</v>
      </c>
      <c r="C212" s="424"/>
      <c r="D212" s="425"/>
      <c r="E212" s="425"/>
      <c r="F212" s="425"/>
      <c r="G212" s="434">
        <f>+G213</f>
        <v>632</v>
      </c>
      <c r="H212" s="434"/>
      <c r="I212" s="434"/>
      <c r="J212" s="434">
        <v>417</v>
      </c>
      <c r="K212" s="434"/>
      <c r="L212" s="434"/>
      <c r="M212" s="434">
        <f>+M213</f>
        <v>632</v>
      </c>
      <c r="N212" s="434"/>
      <c r="O212" s="434"/>
      <c r="P212" s="434">
        <f>+P213</f>
        <v>632</v>
      </c>
      <c r="Q212" s="434"/>
      <c r="R212" s="434"/>
      <c r="S212" s="434">
        <f>+S213</f>
        <v>417</v>
      </c>
      <c r="T212" s="434"/>
      <c r="U212" s="434"/>
      <c r="V212" s="434"/>
      <c r="W212" s="434"/>
      <c r="X212" s="434"/>
    </row>
    <row r="213" spans="1:24" ht="12">
      <c r="A213" s="425">
        <v>4</v>
      </c>
      <c r="B213" s="426" t="s">
        <v>871</v>
      </c>
      <c r="C213" s="424"/>
      <c r="D213" s="425"/>
      <c r="E213" s="425"/>
      <c r="F213" s="425"/>
      <c r="G213" s="434">
        <v>632</v>
      </c>
      <c r="H213" s="434"/>
      <c r="I213" s="434"/>
      <c r="J213" s="434">
        <v>417</v>
      </c>
      <c r="K213" s="434"/>
      <c r="L213" s="434"/>
      <c r="M213" s="434">
        <v>632</v>
      </c>
      <c r="N213" s="434"/>
      <c r="O213" s="434"/>
      <c r="P213" s="434">
        <v>632</v>
      </c>
      <c r="Q213" s="434"/>
      <c r="R213" s="434"/>
      <c r="S213" s="434">
        <v>417</v>
      </c>
      <c r="T213" s="434"/>
      <c r="U213" s="434"/>
      <c r="V213" s="434"/>
      <c r="W213" s="434"/>
      <c r="X213" s="434"/>
    </row>
    <row r="214" spans="1:24" ht="12">
      <c r="A214" s="718" t="s">
        <v>561</v>
      </c>
      <c r="B214" s="719" t="s">
        <v>694</v>
      </c>
      <c r="C214" s="720"/>
      <c r="D214" s="718"/>
      <c r="E214" s="718"/>
      <c r="F214" s="718"/>
      <c r="G214" s="721">
        <f>+SUM(G215:G233)</f>
        <v>7903</v>
      </c>
      <c r="H214" s="721"/>
      <c r="I214" s="721"/>
      <c r="J214" s="721">
        <f>+SUM(J215:J233)</f>
        <v>6976</v>
      </c>
      <c r="K214" s="721"/>
      <c r="L214" s="721"/>
      <c r="M214" s="721">
        <f>+SUM(M215:M233)</f>
        <v>7879</v>
      </c>
      <c r="N214" s="721"/>
      <c r="O214" s="721"/>
      <c r="P214" s="721">
        <f>+SUM(P215:P233)</f>
        <v>7428</v>
      </c>
      <c r="Q214" s="721"/>
      <c r="R214" s="721"/>
      <c r="S214" s="721">
        <f>+SUM(S215:S233)</f>
        <v>6338</v>
      </c>
      <c r="T214" s="721"/>
      <c r="U214" s="721"/>
      <c r="V214" s="721"/>
      <c r="W214" s="721"/>
      <c r="X214" s="721"/>
    </row>
    <row r="215" spans="1:24" ht="12">
      <c r="A215" s="425" t="s">
        <v>656</v>
      </c>
      <c r="B215" s="426" t="s">
        <v>872</v>
      </c>
      <c r="C215" s="424"/>
      <c r="D215" s="425"/>
      <c r="E215" s="425"/>
      <c r="F215" s="425"/>
      <c r="G215" s="434"/>
      <c r="H215" s="434"/>
      <c r="I215" s="434"/>
      <c r="J215" s="434"/>
      <c r="K215" s="434"/>
      <c r="L215" s="434"/>
      <c r="M215" s="434"/>
      <c r="N215" s="434"/>
      <c r="O215" s="434"/>
      <c r="P215" s="434"/>
      <c r="Q215" s="434"/>
      <c r="R215" s="434"/>
      <c r="S215" s="434"/>
      <c r="T215" s="434"/>
      <c r="U215" s="434"/>
      <c r="V215" s="434"/>
      <c r="W215" s="434"/>
      <c r="X215" s="434"/>
    </row>
    <row r="216" spans="1:24" ht="12">
      <c r="A216" s="425">
        <v>1</v>
      </c>
      <c r="B216" s="426" t="s">
        <v>873</v>
      </c>
      <c r="C216" s="424"/>
      <c r="D216" s="425"/>
      <c r="E216" s="425"/>
      <c r="F216" s="425"/>
      <c r="G216" s="434">
        <v>1744</v>
      </c>
      <c r="H216" s="434"/>
      <c r="I216" s="434"/>
      <c r="J216" s="434">
        <v>1460</v>
      </c>
      <c r="K216" s="434"/>
      <c r="L216" s="434"/>
      <c r="M216" s="434">
        <v>1744</v>
      </c>
      <c r="N216" s="434"/>
      <c r="O216" s="434"/>
      <c r="P216" s="434">
        <v>1744</v>
      </c>
      <c r="Q216" s="434"/>
      <c r="R216" s="434"/>
      <c r="S216" s="434">
        <v>1455</v>
      </c>
      <c r="T216" s="434"/>
      <c r="U216" s="434"/>
      <c r="V216" s="434"/>
      <c r="W216" s="434"/>
      <c r="X216" s="434"/>
    </row>
    <row r="217" spans="1:24" ht="12">
      <c r="A217" s="425" t="s">
        <v>665</v>
      </c>
      <c r="B217" s="426" t="s">
        <v>874</v>
      </c>
      <c r="C217" s="424"/>
      <c r="D217" s="425"/>
      <c r="E217" s="425"/>
      <c r="F217" s="425"/>
      <c r="G217" s="434"/>
      <c r="H217" s="434"/>
      <c r="I217" s="434"/>
      <c r="J217" s="434"/>
      <c r="K217" s="434"/>
      <c r="L217" s="434"/>
      <c r="M217" s="434"/>
      <c r="N217" s="434"/>
      <c r="O217" s="434"/>
      <c r="P217" s="434"/>
      <c r="Q217" s="434"/>
      <c r="R217" s="434"/>
      <c r="S217" s="434"/>
      <c r="T217" s="434"/>
      <c r="U217" s="434"/>
      <c r="V217" s="434"/>
      <c r="W217" s="434"/>
      <c r="X217" s="434"/>
    </row>
    <row r="218" spans="1:24" ht="12">
      <c r="A218" s="425">
        <v>1</v>
      </c>
      <c r="B218" s="426" t="s">
        <v>875</v>
      </c>
      <c r="C218" s="424"/>
      <c r="D218" s="425"/>
      <c r="E218" s="425"/>
      <c r="F218" s="425"/>
      <c r="G218" s="434">
        <v>1940</v>
      </c>
      <c r="H218" s="434"/>
      <c r="I218" s="434"/>
      <c r="J218" s="434">
        <v>1656</v>
      </c>
      <c r="K218" s="434"/>
      <c r="L218" s="434"/>
      <c r="M218" s="434">
        <v>1940</v>
      </c>
      <c r="N218" s="434"/>
      <c r="O218" s="434"/>
      <c r="P218" s="434">
        <v>1940</v>
      </c>
      <c r="Q218" s="434"/>
      <c r="R218" s="434"/>
      <c r="S218" s="434">
        <v>1629</v>
      </c>
      <c r="T218" s="434"/>
      <c r="U218" s="434"/>
      <c r="V218" s="434"/>
      <c r="W218" s="434"/>
      <c r="X218" s="434"/>
    </row>
    <row r="219" spans="1:24" ht="12">
      <c r="A219" s="425" t="s">
        <v>666</v>
      </c>
      <c r="B219" s="426" t="s">
        <v>876</v>
      </c>
      <c r="C219" s="424"/>
      <c r="D219" s="425"/>
      <c r="E219" s="425"/>
      <c r="F219" s="425"/>
      <c r="G219" s="434"/>
      <c r="H219" s="434"/>
      <c r="I219" s="434"/>
      <c r="J219" s="434"/>
      <c r="K219" s="434"/>
      <c r="L219" s="434"/>
      <c r="M219" s="434"/>
      <c r="N219" s="434"/>
      <c r="O219" s="434"/>
      <c r="P219" s="434"/>
      <c r="Q219" s="434"/>
      <c r="R219" s="434"/>
      <c r="S219" s="434"/>
      <c r="T219" s="434"/>
      <c r="U219" s="434"/>
      <c r="V219" s="434"/>
      <c r="W219" s="434"/>
      <c r="X219" s="434"/>
    </row>
    <row r="220" spans="1:24" ht="12">
      <c r="A220" s="425">
        <v>1</v>
      </c>
      <c r="B220" s="426" t="s">
        <v>877</v>
      </c>
      <c r="C220" s="424"/>
      <c r="D220" s="425"/>
      <c r="E220" s="425"/>
      <c r="F220" s="425"/>
      <c r="G220" s="434">
        <v>1000</v>
      </c>
      <c r="H220" s="434"/>
      <c r="I220" s="434"/>
      <c r="J220" s="434">
        <v>996</v>
      </c>
      <c r="K220" s="434"/>
      <c r="L220" s="434"/>
      <c r="M220" s="434">
        <v>1000</v>
      </c>
      <c r="N220" s="434"/>
      <c r="O220" s="434"/>
      <c r="P220" s="434">
        <v>1000</v>
      </c>
      <c r="Q220" s="434"/>
      <c r="R220" s="434"/>
      <c r="S220" s="434">
        <v>991</v>
      </c>
      <c r="T220" s="434"/>
      <c r="U220" s="434"/>
      <c r="V220" s="434"/>
      <c r="W220" s="434"/>
      <c r="X220" s="434"/>
    </row>
    <row r="221" spans="1:24" ht="12">
      <c r="A221" s="425" t="s">
        <v>561</v>
      </c>
      <c r="B221" s="426" t="s">
        <v>711</v>
      </c>
      <c r="C221" s="424"/>
      <c r="D221" s="425"/>
      <c r="E221" s="425"/>
      <c r="F221" s="425"/>
      <c r="G221" s="434"/>
      <c r="H221" s="434"/>
      <c r="I221" s="434"/>
      <c r="J221" s="434"/>
      <c r="K221" s="434"/>
      <c r="L221" s="434"/>
      <c r="M221" s="434"/>
      <c r="N221" s="434"/>
      <c r="O221" s="434"/>
      <c r="P221" s="434"/>
      <c r="Q221" s="434"/>
      <c r="R221" s="434"/>
      <c r="S221" s="434"/>
      <c r="T221" s="434"/>
      <c r="U221" s="434"/>
      <c r="V221" s="434"/>
      <c r="W221" s="434"/>
      <c r="X221" s="434"/>
    </row>
    <row r="222" spans="1:24" ht="12">
      <c r="A222" s="425" t="s">
        <v>716</v>
      </c>
      <c r="B222" s="426" t="s">
        <v>547</v>
      </c>
      <c r="C222" s="424"/>
      <c r="D222" s="425"/>
      <c r="E222" s="425"/>
      <c r="F222" s="425"/>
      <c r="G222" s="434"/>
      <c r="H222" s="434"/>
      <c r="I222" s="434"/>
      <c r="J222" s="434"/>
      <c r="K222" s="434"/>
      <c r="L222" s="434"/>
      <c r="M222" s="434"/>
      <c r="N222" s="434"/>
      <c r="O222" s="434"/>
      <c r="P222" s="434"/>
      <c r="Q222" s="434"/>
      <c r="R222" s="434"/>
      <c r="S222" s="434"/>
      <c r="T222" s="434"/>
      <c r="U222" s="434"/>
      <c r="V222" s="434"/>
      <c r="W222" s="434"/>
      <c r="X222" s="434"/>
    </row>
    <row r="223" spans="1:24" ht="12">
      <c r="A223" s="425">
        <v>1</v>
      </c>
      <c r="B223" s="426" t="s">
        <v>712</v>
      </c>
      <c r="C223" s="424"/>
      <c r="D223" s="425"/>
      <c r="E223" s="425"/>
      <c r="F223" s="425"/>
      <c r="G223" s="434">
        <v>1160</v>
      </c>
      <c r="H223" s="434"/>
      <c r="I223" s="434"/>
      <c r="J223" s="434">
        <v>1042</v>
      </c>
      <c r="K223" s="434"/>
      <c r="L223" s="434"/>
      <c r="M223" s="434">
        <v>1136</v>
      </c>
      <c r="N223" s="434"/>
      <c r="O223" s="434"/>
      <c r="P223" s="434">
        <v>688</v>
      </c>
      <c r="Q223" s="434"/>
      <c r="R223" s="434"/>
      <c r="S223" s="434">
        <v>594</v>
      </c>
      <c r="T223" s="434"/>
      <c r="U223" s="434"/>
      <c r="V223" s="434"/>
      <c r="W223" s="434"/>
      <c r="X223" s="434"/>
    </row>
    <row r="224" spans="1:24" ht="12">
      <c r="A224" s="425" t="s">
        <v>718</v>
      </c>
      <c r="B224" s="426" t="s">
        <v>548</v>
      </c>
      <c r="C224" s="424"/>
      <c r="D224" s="425"/>
      <c r="E224" s="425"/>
      <c r="F224" s="425"/>
      <c r="G224" s="434"/>
      <c r="H224" s="434"/>
      <c r="I224" s="434"/>
      <c r="J224" s="434"/>
      <c r="K224" s="434"/>
      <c r="L224" s="434"/>
      <c r="M224" s="434"/>
      <c r="N224" s="434"/>
      <c r="O224" s="434"/>
      <c r="P224" s="434"/>
      <c r="Q224" s="434"/>
      <c r="R224" s="434"/>
      <c r="S224" s="434"/>
      <c r="T224" s="434"/>
      <c r="U224" s="434"/>
      <c r="V224" s="434"/>
      <c r="W224" s="434"/>
      <c r="X224" s="434"/>
    </row>
    <row r="225" spans="1:24" ht="12">
      <c r="A225" s="425">
        <v>2</v>
      </c>
      <c r="B225" s="426" t="s">
        <v>713</v>
      </c>
      <c r="C225" s="424"/>
      <c r="D225" s="425"/>
      <c r="E225" s="425"/>
      <c r="F225" s="425"/>
      <c r="G225" s="434">
        <v>583</v>
      </c>
      <c r="H225" s="434"/>
      <c r="I225" s="434"/>
      <c r="J225" s="434">
        <v>516</v>
      </c>
      <c r="K225" s="434"/>
      <c r="L225" s="434"/>
      <c r="M225" s="434">
        <v>583</v>
      </c>
      <c r="N225" s="434"/>
      <c r="O225" s="434"/>
      <c r="P225" s="434">
        <v>583</v>
      </c>
      <c r="Q225" s="434"/>
      <c r="R225" s="434"/>
      <c r="S225" s="434">
        <v>514</v>
      </c>
      <c r="T225" s="434"/>
      <c r="U225" s="434"/>
      <c r="V225" s="434"/>
      <c r="W225" s="434"/>
      <c r="X225" s="434"/>
    </row>
    <row r="226" spans="1:24" ht="12">
      <c r="A226" s="425" t="s">
        <v>878</v>
      </c>
      <c r="B226" s="426" t="s">
        <v>551</v>
      </c>
      <c r="C226" s="424"/>
      <c r="D226" s="425"/>
      <c r="E226" s="425"/>
      <c r="F226" s="425"/>
      <c r="G226" s="434"/>
      <c r="H226" s="434"/>
      <c r="I226" s="434"/>
      <c r="J226" s="434"/>
      <c r="K226" s="434"/>
      <c r="L226" s="434"/>
      <c r="M226" s="434"/>
      <c r="N226" s="434"/>
      <c r="O226" s="434"/>
      <c r="P226" s="434"/>
      <c r="Q226" s="434"/>
      <c r="R226" s="434"/>
      <c r="S226" s="434"/>
      <c r="T226" s="434"/>
      <c r="U226" s="434"/>
      <c r="V226" s="434"/>
      <c r="W226" s="434"/>
      <c r="X226" s="434"/>
    </row>
    <row r="227" spans="1:24" ht="12">
      <c r="A227" s="425">
        <v>3</v>
      </c>
      <c r="B227" s="426" t="s">
        <v>714</v>
      </c>
      <c r="C227" s="424"/>
      <c r="D227" s="425"/>
      <c r="E227" s="425"/>
      <c r="F227" s="425"/>
      <c r="G227" s="434">
        <v>583</v>
      </c>
      <c r="H227" s="434"/>
      <c r="I227" s="434"/>
      <c r="J227" s="434">
        <v>584</v>
      </c>
      <c r="K227" s="434"/>
      <c r="L227" s="434"/>
      <c r="M227" s="434">
        <v>583</v>
      </c>
      <c r="N227" s="434"/>
      <c r="O227" s="434"/>
      <c r="P227" s="434">
        <v>583</v>
      </c>
      <c r="Q227" s="434"/>
      <c r="R227" s="434"/>
      <c r="S227" s="434">
        <v>583</v>
      </c>
      <c r="T227" s="434"/>
      <c r="U227" s="434"/>
      <c r="V227" s="434"/>
      <c r="W227" s="434"/>
      <c r="X227" s="434"/>
    </row>
    <row r="228" spans="1:24" ht="12">
      <c r="A228" s="425" t="s">
        <v>879</v>
      </c>
      <c r="B228" s="426" t="s">
        <v>583</v>
      </c>
      <c r="C228" s="424"/>
      <c r="D228" s="425"/>
      <c r="E228" s="425"/>
      <c r="F228" s="425"/>
      <c r="G228" s="434"/>
      <c r="H228" s="434"/>
      <c r="I228" s="434"/>
      <c r="J228" s="434"/>
      <c r="K228" s="434"/>
      <c r="L228" s="434"/>
      <c r="M228" s="434"/>
      <c r="N228" s="434"/>
      <c r="O228" s="434"/>
      <c r="P228" s="434"/>
      <c r="Q228" s="434"/>
      <c r="R228" s="434"/>
      <c r="S228" s="434"/>
      <c r="T228" s="434"/>
      <c r="U228" s="434"/>
      <c r="V228" s="434"/>
      <c r="W228" s="434"/>
      <c r="X228" s="434"/>
    </row>
    <row r="229" spans="1:24" ht="12">
      <c r="A229" s="425">
        <v>4</v>
      </c>
      <c r="B229" s="426" t="s">
        <v>715</v>
      </c>
      <c r="C229" s="424"/>
      <c r="D229" s="425"/>
      <c r="E229" s="425"/>
      <c r="F229" s="425"/>
      <c r="G229" s="434">
        <v>583</v>
      </c>
      <c r="H229" s="434"/>
      <c r="I229" s="434"/>
      <c r="J229" s="434">
        <v>572</v>
      </c>
      <c r="K229" s="434"/>
      <c r="L229" s="434"/>
      <c r="M229" s="434">
        <v>583</v>
      </c>
      <c r="N229" s="434"/>
      <c r="O229" s="434"/>
      <c r="P229" s="434">
        <v>583</v>
      </c>
      <c r="Q229" s="434"/>
      <c r="R229" s="434"/>
      <c r="S229" s="434">
        <v>572</v>
      </c>
      <c r="T229" s="434"/>
      <c r="U229" s="434"/>
      <c r="V229" s="434"/>
      <c r="W229" s="434"/>
      <c r="X229" s="434"/>
    </row>
    <row r="230" spans="1:24" ht="12">
      <c r="A230" s="425" t="s">
        <v>880</v>
      </c>
      <c r="B230" s="426" t="s">
        <v>558</v>
      </c>
      <c r="C230" s="424"/>
      <c r="D230" s="425"/>
      <c r="E230" s="425"/>
      <c r="F230" s="425"/>
      <c r="G230" s="434"/>
      <c r="H230" s="434"/>
      <c r="I230" s="434"/>
      <c r="J230" s="434"/>
      <c r="K230" s="434"/>
      <c r="L230" s="434"/>
      <c r="M230" s="434"/>
      <c r="N230" s="434"/>
      <c r="O230" s="434"/>
      <c r="P230" s="434"/>
      <c r="Q230" s="434"/>
      <c r="R230" s="434"/>
      <c r="S230" s="434"/>
      <c r="T230" s="434"/>
      <c r="U230" s="434"/>
      <c r="V230" s="434"/>
      <c r="W230" s="434"/>
      <c r="X230" s="434"/>
    </row>
    <row r="231" spans="1:24" ht="12">
      <c r="A231" s="425">
        <v>5</v>
      </c>
      <c r="B231" s="426" t="s">
        <v>881</v>
      </c>
      <c r="C231" s="424"/>
      <c r="D231" s="425"/>
      <c r="E231" s="425"/>
      <c r="F231" s="425"/>
      <c r="G231" s="434">
        <v>155</v>
      </c>
      <c r="H231" s="434"/>
      <c r="I231" s="434"/>
      <c r="J231" s="434">
        <v>150</v>
      </c>
      <c r="K231" s="434"/>
      <c r="L231" s="434"/>
      <c r="M231" s="434">
        <v>155</v>
      </c>
      <c r="N231" s="434"/>
      <c r="O231" s="434"/>
      <c r="P231" s="434">
        <v>155</v>
      </c>
      <c r="Q231" s="434"/>
      <c r="R231" s="434"/>
      <c r="S231" s="434"/>
      <c r="T231" s="434"/>
      <c r="U231" s="434"/>
      <c r="V231" s="434"/>
      <c r="W231" s="434"/>
      <c r="X231" s="434"/>
    </row>
    <row r="232" spans="1:24" ht="12">
      <c r="A232" s="425" t="s">
        <v>718</v>
      </c>
      <c r="B232" s="426" t="s">
        <v>557</v>
      </c>
      <c r="C232" s="424"/>
      <c r="D232" s="425"/>
      <c r="E232" s="425"/>
      <c r="F232" s="425"/>
      <c r="G232" s="434"/>
      <c r="H232" s="434"/>
      <c r="I232" s="434"/>
      <c r="J232" s="434"/>
      <c r="K232" s="434"/>
      <c r="L232" s="434"/>
      <c r="M232" s="434"/>
      <c r="N232" s="434"/>
      <c r="O232" s="434"/>
      <c r="P232" s="434"/>
      <c r="Q232" s="434"/>
      <c r="R232" s="434"/>
      <c r="S232" s="434"/>
      <c r="T232" s="434"/>
      <c r="U232" s="434"/>
      <c r="V232" s="434"/>
      <c r="W232" s="434"/>
      <c r="X232" s="434"/>
    </row>
    <row r="233" spans="1:24" ht="12">
      <c r="A233" s="437">
        <v>6</v>
      </c>
      <c r="B233" s="438" t="s">
        <v>882</v>
      </c>
      <c r="C233" s="439"/>
      <c r="D233" s="437"/>
      <c r="E233" s="437"/>
      <c r="F233" s="437"/>
      <c r="G233" s="440">
        <v>155</v>
      </c>
      <c r="H233" s="440"/>
      <c r="I233" s="440"/>
      <c r="J233" s="440"/>
      <c r="K233" s="440"/>
      <c r="L233" s="440"/>
      <c r="M233" s="440">
        <v>155</v>
      </c>
      <c r="N233" s="440"/>
      <c r="O233" s="440"/>
      <c r="P233" s="440">
        <v>152</v>
      </c>
      <c r="Q233" s="440"/>
      <c r="R233" s="440"/>
      <c r="S233" s="440">
        <v>0</v>
      </c>
      <c r="T233" s="440"/>
      <c r="U233" s="440"/>
      <c r="V233" s="440"/>
      <c r="W233" s="440"/>
      <c r="X233" s="440"/>
    </row>
    <row r="234" spans="1:24" ht="45.75">
      <c r="A234" s="722" t="s">
        <v>62</v>
      </c>
      <c r="B234" s="728" t="s">
        <v>883</v>
      </c>
      <c r="C234" s="729"/>
      <c r="D234" s="722"/>
      <c r="E234" s="722"/>
      <c r="F234" s="722"/>
      <c r="G234" s="723">
        <f>+G235</f>
        <v>26000</v>
      </c>
      <c r="H234" s="723"/>
      <c r="I234" s="723"/>
      <c r="J234" s="723">
        <f>+J235</f>
        <v>13298</v>
      </c>
      <c r="K234" s="723"/>
      <c r="L234" s="723"/>
      <c r="M234" s="723">
        <f>+M235</f>
        <v>12500</v>
      </c>
      <c r="N234" s="723"/>
      <c r="O234" s="723"/>
      <c r="P234" s="723">
        <f>+P235</f>
        <v>12500</v>
      </c>
      <c r="Q234" s="723"/>
      <c r="R234" s="723"/>
      <c r="S234" s="723">
        <f>+S235</f>
        <v>12500</v>
      </c>
      <c r="T234" s="723"/>
      <c r="U234" s="723"/>
      <c r="V234" s="723"/>
      <c r="W234" s="723"/>
      <c r="X234" s="723"/>
    </row>
    <row r="235" spans="1:24" ht="12">
      <c r="A235" s="427"/>
      <c r="B235" s="428" t="s">
        <v>672</v>
      </c>
      <c r="C235" s="424"/>
      <c r="D235" s="425"/>
      <c r="E235" s="425"/>
      <c r="F235" s="425"/>
      <c r="G235" s="434">
        <f>+G236</f>
        <v>26000</v>
      </c>
      <c r="H235" s="434"/>
      <c r="I235" s="434"/>
      <c r="J235" s="434">
        <f>+J236</f>
        <v>13298</v>
      </c>
      <c r="K235" s="434"/>
      <c r="L235" s="434"/>
      <c r="M235" s="434">
        <f>+M236</f>
        <v>12500</v>
      </c>
      <c r="N235" s="434"/>
      <c r="O235" s="434"/>
      <c r="P235" s="434">
        <f>+P236</f>
        <v>12500</v>
      </c>
      <c r="Q235" s="434"/>
      <c r="R235" s="434"/>
      <c r="S235" s="434">
        <f>+S236</f>
        <v>12500</v>
      </c>
      <c r="T235" s="434"/>
      <c r="U235" s="434"/>
      <c r="V235" s="434"/>
      <c r="W235" s="434"/>
      <c r="X235" s="434"/>
    </row>
    <row r="236" spans="1:24" ht="12">
      <c r="A236" s="718" t="s">
        <v>639</v>
      </c>
      <c r="B236" s="719" t="s">
        <v>640</v>
      </c>
      <c r="C236" s="720"/>
      <c r="D236" s="718"/>
      <c r="E236" s="718"/>
      <c r="F236" s="718"/>
      <c r="G236" s="721">
        <f>+G237</f>
        <v>26000</v>
      </c>
      <c r="H236" s="721"/>
      <c r="I236" s="721"/>
      <c r="J236" s="721">
        <f>+J237</f>
        <v>13298</v>
      </c>
      <c r="K236" s="721"/>
      <c r="L236" s="721"/>
      <c r="M236" s="721">
        <f>+M237</f>
        <v>12500</v>
      </c>
      <c r="N236" s="721"/>
      <c r="O236" s="721"/>
      <c r="P236" s="721">
        <f>+P237</f>
        <v>12500</v>
      </c>
      <c r="Q236" s="721"/>
      <c r="R236" s="721"/>
      <c r="S236" s="721">
        <f>+S237</f>
        <v>12500</v>
      </c>
      <c r="T236" s="721"/>
      <c r="U236" s="721"/>
      <c r="V236" s="721"/>
      <c r="W236" s="721"/>
      <c r="X236" s="721"/>
    </row>
    <row r="237" spans="1:24" ht="45.75">
      <c r="A237" s="425">
        <v>1</v>
      </c>
      <c r="B237" s="436" t="s">
        <v>884</v>
      </c>
      <c r="C237" s="424"/>
      <c r="D237" s="425"/>
      <c r="E237" s="425"/>
      <c r="F237" s="425"/>
      <c r="G237" s="434">
        <v>26000</v>
      </c>
      <c r="H237" s="434"/>
      <c r="I237" s="434"/>
      <c r="J237" s="434">
        <v>13298</v>
      </c>
      <c r="K237" s="434"/>
      <c r="L237" s="434"/>
      <c r="M237" s="434">
        <v>12500</v>
      </c>
      <c r="N237" s="434"/>
      <c r="O237" s="434"/>
      <c r="P237" s="434">
        <v>12500</v>
      </c>
      <c r="Q237" s="434"/>
      <c r="R237" s="434"/>
      <c r="S237" s="434">
        <v>12500</v>
      </c>
      <c r="T237" s="434"/>
      <c r="U237" s="434"/>
      <c r="V237" s="434"/>
      <c r="W237" s="434"/>
      <c r="X237" s="434"/>
    </row>
    <row r="238" spans="1:24" ht="12">
      <c r="A238" s="425">
        <v>3</v>
      </c>
      <c r="B238" s="426" t="s">
        <v>680</v>
      </c>
      <c r="C238" s="424"/>
      <c r="D238" s="425"/>
      <c r="E238" s="425"/>
      <c r="F238" s="425"/>
      <c r="G238" s="434">
        <v>8760</v>
      </c>
      <c r="H238" s="434"/>
      <c r="I238" s="434"/>
      <c r="J238" s="434">
        <v>5945</v>
      </c>
      <c r="K238" s="434"/>
      <c r="L238" s="434"/>
      <c r="M238" s="434">
        <v>5945</v>
      </c>
      <c r="N238" s="434"/>
      <c r="O238" s="434"/>
      <c r="P238" s="434">
        <v>5945</v>
      </c>
      <c r="Q238" s="434"/>
      <c r="R238" s="434"/>
      <c r="S238" s="434">
        <v>5945</v>
      </c>
      <c r="T238" s="434"/>
      <c r="U238" s="434"/>
      <c r="V238" s="434"/>
      <c r="W238" s="434"/>
      <c r="X238" s="434"/>
    </row>
    <row r="239" spans="1:24" ht="12">
      <c r="A239" s="425">
        <v>4</v>
      </c>
      <c r="B239" s="426" t="s">
        <v>681</v>
      </c>
      <c r="C239" s="424"/>
      <c r="D239" s="425"/>
      <c r="E239" s="425"/>
      <c r="F239" s="425"/>
      <c r="G239" s="434">
        <v>797</v>
      </c>
      <c r="H239" s="434"/>
      <c r="I239" s="434"/>
      <c r="J239" s="434">
        <v>360.761</v>
      </c>
      <c r="K239" s="434"/>
      <c r="L239" s="434"/>
      <c r="M239" s="434">
        <v>360.761</v>
      </c>
      <c r="N239" s="434"/>
      <c r="O239" s="434"/>
      <c r="P239" s="434">
        <v>360.761</v>
      </c>
      <c r="Q239" s="434"/>
      <c r="R239" s="434"/>
      <c r="S239" s="434">
        <v>360.761</v>
      </c>
      <c r="T239" s="434"/>
      <c r="U239" s="434"/>
      <c r="V239" s="434"/>
      <c r="W239" s="434"/>
      <c r="X239" s="434"/>
    </row>
    <row r="240" spans="1:24" ht="12">
      <c r="A240" s="425" t="s">
        <v>561</v>
      </c>
      <c r="B240" s="426" t="s">
        <v>682</v>
      </c>
      <c r="C240" s="424"/>
      <c r="D240" s="425"/>
      <c r="E240" s="425"/>
      <c r="F240" s="425"/>
      <c r="G240" s="434">
        <v>0</v>
      </c>
      <c r="H240" s="434"/>
      <c r="I240" s="434"/>
      <c r="J240" s="434">
        <v>11188.937</v>
      </c>
      <c r="K240" s="434"/>
      <c r="L240" s="434"/>
      <c r="M240" s="434">
        <v>11188.937</v>
      </c>
      <c r="N240" s="434"/>
      <c r="O240" s="434"/>
      <c r="P240" s="434">
        <v>11251.204</v>
      </c>
      <c r="Q240" s="434"/>
      <c r="R240" s="434"/>
      <c r="S240" s="434">
        <v>9462.985</v>
      </c>
      <c r="T240" s="434"/>
      <c r="U240" s="434"/>
      <c r="V240" s="434"/>
      <c r="W240" s="434"/>
      <c r="X240" s="434"/>
    </row>
    <row r="241" spans="1:24" ht="12">
      <c r="A241" s="425">
        <v>1</v>
      </c>
      <c r="B241" s="426" t="s">
        <v>683</v>
      </c>
      <c r="C241" s="424"/>
      <c r="D241" s="425"/>
      <c r="E241" s="425"/>
      <c r="F241" s="425"/>
      <c r="G241" s="434"/>
      <c r="H241" s="434"/>
      <c r="I241" s="434"/>
      <c r="J241" s="434">
        <v>730</v>
      </c>
      <c r="K241" s="434"/>
      <c r="L241" s="434"/>
      <c r="M241" s="434">
        <v>730</v>
      </c>
      <c r="N241" s="434"/>
      <c r="O241" s="434"/>
      <c r="P241" s="434">
        <v>730</v>
      </c>
      <c r="Q241" s="434"/>
      <c r="R241" s="434"/>
      <c r="S241" s="434">
        <v>730</v>
      </c>
      <c r="T241" s="434"/>
      <c r="U241" s="434"/>
      <c r="V241" s="434"/>
      <c r="W241" s="434"/>
      <c r="X241" s="434"/>
    </row>
    <row r="242" spans="1:24" ht="12">
      <c r="A242" s="425">
        <v>2</v>
      </c>
      <c r="B242" s="426" t="s">
        <v>684</v>
      </c>
      <c r="C242" s="424"/>
      <c r="D242" s="425"/>
      <c r="E242" s="425"/>
      <c r="F242" s="425"/>
      <c r="G242" s="434"/>
      <c r="H242" s="434"/>
      <c r="I242" s="434"/>
      <c r="J242" s="434">
        <v>1080</v>
      </c>
      <c r="K242" s="434"/>
      <c r="L242" s="434"/>
      <c r="M242" s="434">
        <v>1080</v>
      </c>
      <c r="N242" s="434"/>
      <c r="O242" s="434"/>
      <c r="P242" s="434">
        <v>1080</v>
      </c>
      <c r="Q242" s="434"/>
      <c r="R242" s="434"/>
      <c r="S242" s="434">
        <v>1080</v>
      </c>
      <c r="T242" s="434"/>
      <c r="U242" s="434"/>
      <c r="V242" s="434"/>
      <c r="W242" s="434"/>
      <c r="X242" s="434"/>
    </row>
    <row r="243" spans="1:24" ht="12">
      <c r="A243" s="425">
        <v>3</v>
      </c>
      <c r="B243" s="426" t="s">
        <v>685</v>
      </c>
      <c r="C243" s="424"/>
      <c r="D243" s="425"/>
      <c r="E243" s="425"/>
      <c r="F243" s="425"/>
      <c r="G243" s="434"/>
      <c r="H243" s="434"/>
      <c r="I243" s="434"/>
      <c r="J243" s="434">
        <v>1040</v>
      </c>
      <c r="K243" s="434"/>
      <c r="L243" s="434"/>
      <c r="M243" s="434">
        <v>1040</v>
      </c>
      <c r="N243" s="434"/>
      <c r="O243" s="434"/>
      <c r="P243" s="434">
        <v>1040</v>
      </c>
      <c r="Q243" s="434"/>
      <c r="R243" s="434"/>
      <c r="S243" s="434">
        <v>1040</v>
      </c>
      <c r="T243" s="434"/>
      <c r="U243" s="434"/>
      <c r="V243" s="434"/>
      <c r="W243" s="434"/>
      <c r="X243" s="434"/>
    </row>
    <row r="244" spans="1:24" ht="12">
      <c r="A244" s="425">
        <v>4</v>
      </c>
      <c r="B244" s="426" t="s">
        <v>674</v>
      </c>
      <c r="C244" s="424"/>
      <c r="D244" s="425"/>
      <c r="E244" s="425"/>
      <c r="F244" s="425"/>
      <c r="G244" s="434"/>
      <c r="H244" s="434"/>
      <c r="I244" s="434"/>
      <c r="J244" s="434">
        <v>915</v>
      </c>
      <c r="K244" s="434"/>
      <c r="L244" s="434"/>
      <c r="M244" s="434">
        <v>915</v>
      </c>
      <c r="N244" s="434"/>
      <c r="O244" s="434"/>
      <c r="P244" s="434">
        <v>915</v>
      </c>
      <c r="Q244" s="434"/>
      <c r="R244" s="434"/>
      <c r="S244" s="434">
        <v>915</v>
      </c>
      <c r="T244" s="434"/>
      <c r="U244" s="434"/>
      <c r="V244" s="434"/>
      <c r="W244" s="434"/>
      <c r="X244" s="434"/>
    </row>
    <row r="245" spans="1:24" ht="12">
      <c r="A245" s="425">
        <v>5</v>
      </c>
      <c r="B245" s="426" t="s">
        <v>675</v>
      </c>
      <c r="C245" s="424"/>
      <c r="D245" s="425"/>
      <c r="E245" s="425"/>
      <c r="F245" s="425"/>
      <c r="G245" s="434"/>
      <c r="H245" s="434"/>
      <c r="I245" s="434"/>
      <c r="J245" s="434">
        <v>550</v>
      </c>
      <c r="K245" s="434"/>
      <c r="L245" s="434"/>
      <c r="M245" s="434">
        <v>550</v>
      </c>
      <c r="N245" s="434"/>
      <c r="O245" s="434"/>
      <c r="P245" s="434">
        <v>550</v>
      </c>
      <c r="Q245" s="434"/>
      <c r="R245" s="434"/>
      <c r="S245" s="434">
        <v>550</v>
      </c>
      <c r="T245" s="434"/>
      <c r="U245" s="434"/>
      <c r="V245" s="434"/>
      <c r="W245" s="434"/>
      <c r="X245" s="434"/>
    </row>
    <row r="246" spans="1:24" ht="12">
      <c r="A246" s="425">
        <v>6</v>
      </c>
      <c r="B246" s="426" t="s">
        <v>676</v>
      </c>
      <c r="C246" s="424"/>
      <c r="D246" s="425"/>
      <c r="E246" s="425"/>
      <c r="F246" s="425"/>
      <c r="G246" s="434"/>
      <c r="H246" s="434"/>
      <c r="I246" s="434"/>
      <c r="J246" s="434">
        <v>370</v>
      </c>
      <c r="K246" s="434"/>
      <c r="L246" s="434"/>
      <c r="M246" s="434">
        <v>370</v>
      </c>
      <c r="N246" s="434"/>
      <c r="O246" s="434"/>
      <c r="P246" s="434">
        <v>370</v>
      </c>
      <c r="Q246" s="434"/>
      <c r="R246" s="434"/>
      <c r="S246" s="434">
        <v>370</v>
      </c>
      <c r="T246" s="434"/>
      <c r="U246" s="434"/>
      <c r="V246" s="434"/>
      <c r="W246" s="434"/>
      <c r="X246" s="434"/>
    </row>
    <row r="247" spans="1:24" ht="12">
      <c r="A247" s="425">
        <v>7</v>
      </c>
      <c r="B247" s="426" t="s">
        <v>686</v>
      </c>
      <c r="C247" s="424"/>
      <c r="D247" s="425"/>
      <c r="E247" s="425"/>
      <c r="F247" s="425"/>
      <c r="G247" s="434"/>
      <c r="H247" s="434"/>
      <c r="I247" s="434"/>
      <c r="J247" s="434">
        <v>570</v>
      </c>
      <c r="K247" s="434"/>
      <c r="L247" s="434"/>
      <c r="M247" s="434">
        <v>570</v>
      </c>
      <c r="N247" s="434"/>
      <c r="O247" s="434"/>
      <c r="P247" s="434">
        <v>570</v>
      </c>
      <c r="Q247" s="434"/>
      <c r="R247" s="434"/>
      <c r="S247" s="434">
        <v>570</v>
      </c>
      <c r="T247" s="434"/>
      <c r="U247" s="434"/>
      <c r="V247" s="434"/>
      <c r="W247" s="434"/>
      <c r="X247" s="434"/>
    </row>
    <row r="248" spans="1:24" ht="12">
      <c r="A248" s="425">
        <v>8</v>
      </c>
      <c r="B248" s="426" t="s">
        <v>678</v>
      </c>
      <c r="C248" s="424"/>
      <c r="D248" s="425"/>
      <c r="E248" s="425"/>
      <c r="F248" s="425"/>
      <c r="G248" s="434"/>
      <c r="H248" s="434"/>
      <c r="I248" s="434"/>
      <c r="J248" s="434">
        <v>90</v>
      </c>
      <c r="K248" s="434"/>
      <c r="L248" s="434"/>
      <c r="M248" s="434">
        <v>90</v>
      </c>
      <c r="N248" s="434"/>
      <c r="O248" s="434"/>
      <c r="P248" s="434">
        <v>90</v>
      </c>
      <c r="Q248" s="434"/>
      <c r="R248" s="434"/>
      <c r="S248" s="434">
        <v>90</v>
      </c>
      <c r="T248" s="434"/>
      <c r="U248" s="434"/>
      <c r="V248" s="434"/>
      <c r="W248" s="434"/>
      <c r="X248" s="434"/>
    </row>
    <row r="249" spans="1:24" ht="12">
      <c r="A249" s="425">
        <v>9</v>
      </c>
      <c r="B249" s="426" t="s">
        <v>679</v>
      </c>
      <c r="C249" s="424"/>
      <c r="D249" s="425"/>
      <c r="E249" s="425"/>
      <c r="F249" s="425"/>
      <c r="G249" s="434"/>
      <c r="H249" s="434"/>
      <c r="I249" s="434"/>
      <c r="J249" s="434">
        <v>125</v>
      </c>
      <c r="K249" s="434"/>
      <c r="L249" s="434"/>
      <c r="M249" s="434">
        <v>125</v>
      </c>
      <c r="N249" s="434"/>
      <c r="O249" s="434"/>
      <c r="P249" s="434">
        <v>125</v>
      </c>
      <c r="Q249" s="434"/>
      <c r="R249" s="434"/>
      <c r="S249" s="434">
        <v>125</v>
      </c>
      <c r="T249" s="434"/>
      <c r="U249" s="434"/>
      <c r="V249" s="434"/>
      <c r="W249" s="434"/>
      <c r="X249" s="434"/>
    </row>
    <row r="250" spans="1:24" ht="12">
      <c r="A250" s="425">
        <v>10</v>
      </c>
      <c r="B250" s="426" t="s">
        <v>587</v>
      </c>
      <c r="C250" s="424"/>
      <c r="D250" s="425"/>
      <c r="E250" s="425"/>
      <c r="F250" s="425"/>
      <c r="G250" s="434"/>
      <c r="H250" s="434"/>
      <c r="I250" s="434"/>
      <c r="J250" s="434">
        <v>1170.937</v>
      </c>
      <c r="K250" s="434"/>
      <c r="L250" s="434"/>
      <c r="M250" s="434">
        <v>1170.937</v>
      </c>
      <c r="N250" s="434"/>
      <c r="O250" s="434"/>
      <c r="P250" s="434">
        <v>1233.204</v>
      </c>
      <c r="Q250" s="434"/>
      <c r="R250" s="434"/>
      <c r="S250" s="434">
        <v>905.665</v>
      </c>
      <c r="T250" s="434"/>
      <c r="U250" s="434"/>
      <c r="V250" s="434"/>
      <c r="W250" s="434"/>
      <c r="X250" s="434"/>
    </row>
    <row r="251" spans="1:24" ht="12">
      <c r="A251" s="425">
        <v>11</v>
      </c>
      <c r="B251" s="426" t="s">
        <v>687</v>
      </c>
      <c r="C251" s="424"/>
      <c r="D251" s="425"/>
      <c r="E251" s="425"/>
      <c r="F251" s="425"/>
      <c r="G251" s="434"/>
      <c r="H251" s="434"/>
      <c r="I251" s="434"/>
      <c r="J251" s="434">
        <v>1040</v>
      </c>
      <c r="K251" s="434"/>
      <c r="L251" s="434"/>
      <c r="M251" s="434">
        <v>1040</v>
      </c>
      <c r="N251" s="434"/>
      <c r="O251" s="434"/>
      <c r="P251" s="434">
        <v>1040</v>
      </c>
      <c r="Q251" s="434"/>
      <c r="R251" s="434"/>
      <c r="S251" s="434">
        <v>545.27</v>
      </c>
      <c r="T251" s="434"/>
      <c r="U251" s="434"/>
      <c r="V251" s="434"/>
      <c r="W251" s="434"/>
      <c r="X251" s="434"/>
    </row>
    <row r="252" spans="1:24" ht="12">
      <c r="A252" s="425">
        <v>12</v>
      </c>
      <c r="B252" s="426" t="s">
        <v>688</v>
      </c>
      <c r="C252" s="424"/>
      <c r="D252" s="425"/>
      <c r="E252" s="425"/>
      <c r="F252" s="425"/>
      <c r="G252" s="434"/>
      <c r="H252" s="434"/>
      <c r="I252" s="434"/>
      <c r="J252" s="434">
        <v>630</v>
      </c>
      <c r="K252" s="434"/>
      <c r="L252" s="434"/>
      <c r="M252" s="434">
        <v>630</v>
      </c>
      <c r="N252" s="434"/>
      <c r="O252" s="434"/>
      <c r="P252" s="434">
        <v>630</v>
      </c>
      <c r="Q252" s="434"/>
      <c r="R252" s="434"/>
      <c r="S252" s="434">
        <v>163</v>
      </c>
      <c r="T252" s="434"/>
      <c r="U252" s="434"/>
      <c r="V252" s="434"/>
      <c r="W252" s="434"/>
      <c r="X252" s="434"/>
    </row>
    <row r="253" spans="1:24" ht="12">
      <c r="A253" s="425">
        <v>13</v>
      </c>
      <c r="B253" s="426" t="s">
        <v>689</v>
      </c>
      <c r="C253" s="424"/>
      <c r="D253" s="425"/>
      <c r="E253" s="425"/>
      <c r="F253" s="425"/>
      <c r="G253" s="434"/>
      <c r="H253" s="434"/>
      <c r="I253" s="434"/>
      <c r="J253" s="434">
        <v>490</v>
      </c>
      <c r="K253" s="434"/>
      <c r="L253" s="434"/>
      <c r="M253" s="434">
        <v>490</v>
      </c>
      <c r="N253" s="434"/>
      <c r="O253" s="434"/>
      <c r="P253" s="434">
        <v>490</v>
      </c>
      <c r="Q253" s="434"/>
      <c r="R253" s="434"/>
      <c r="S253" s="434">
        <v>90</v>
      </c>
      <c r="T253" s="434"/>
      <c r="U253" s="434"/>
      <c r="V253" s="434"/>
      <c r="W253" s="434"/>
      <c r="X253" s="434"/>
    </row>
    <row r="254" spans="1:24" ht="12">
      <c r="A254" s="425">
        <v>14</v>
      </c>
      <c r="B254" s="426" t="s">
        <v>690</v>
      </c>
      <c r="C254" s="424"/>
      <c r="D254" s="425"/>
      <c r="E254" s="425"/>
      <c r="F254" s="425"/>
      <c r="G254" s="434"/>
      <c r="H254" s="434"/>
      <c r="I254" s="434"/>
      <c r="J254" s="434">
        <v>708</v>
      </c>
      <c r="K254" s="434"/>
      <c r="L254" s="434"/>
      <c r="M254" s="434">
        <v>708</v>
      </c>
      <c r="N254" s="434"/>
      <c r="O254" s="434"/>
      <c r="P254" s="434">
        <v>708</v>
      </c>
      <c r="Q254" s="434"/>
      <c r="R254" s="434"/>
      <c r="S254" s="434">
        <v>609.05</v>
      </c>
      <c r="T254" s="434"/>
      <c r="U254" s="434"/>
      <c r="V254" s="434"/>
      <c r="W254" s="434"/>
      <c r="X254" s="434"/>
    </row>
    <row r="255" spans="1:24" ht="12">
      <c r="A255" s="425">
        <v>15</v>
      </c>
      <c r="B255" s="426" t="s">
        <v>604</v>
      </c>
      <c r="C255" s="424"/>
      <c r="D255" s="425"/>
      <c r="E255" s="425"/>
      <c r="F255" s="425"/>
      <c r="G255" s="434"/>
      <c r="H255" s="434"/>
      <c r="I255" s="434"/>
      <c r="J255" s="434">
        <v>280</v>
      </c>
      <c r="K255" s="434"/>
      <c r="L255" s="434"/>
      <c r="M255" s="434">
        <v>280</v>
      </c>
      <c r="N255" s="434"/>
      <c r="O255" s="434"/>
      <c r="P255" s="434">
        <v>280</v>
      </c>
      <c r="Q255" s="434"/>
      <c r="R255" s="434"/>
      <c r="S255" s="434">
        <v>280</v>
      </c>
      <c r="T255" s="434"/>
      <c r="U255" s="434"/>
      <c r="V255" s="434"/>
      <c r="W255" s="434"/>
      <c r="X255" s="434"/>
    </row>
    <row r="256" spans="1:24" ht="12">
      <c r="A256" s="425">
        <v>16</v>
      </c>
      <c r="B256" s="426" t="s">
        <v>691</v>
      </c>
      <c r="C256" s="424"/>
      <c r="D256" s="425"/>
      <c r="E256" s="425"/>
      <c r="F256" s="425"/>
      <c r="G256" s="434"/>
      <c r="H256" s="434"/>
      <c r="I256" s="434"/>
      <c r="J256" s="434">
        <v>1400</v>
      </c>
      <c r="K256" s="434"/>
      <c r="L256" s="434"/>
      <c r="M256" s="434">
        <v>1400</v>
      </c>
      <c r="N256" s="434"/>
      <c r="O256" s="434"/>
      <c r="P256" s="434">
        <v>1400</v>
      </c>
      <c r="Q256" s="434"/>
      <c r="R256" s="434"/>
      <c r="S256" s="434">
        <v>1400</v>
      </c>
      <c r="T256" s="434"/>
      <c r="U256" s="434"/>
      <c r="V256" s="434"/>
      <c r="W256" s="434"/>
      <c r="X256" s="434"/>
    </row>
    <row r="257" spans="1:24" ht="69">
      <c r="A257" s="427" t="s">
        <v>692</v>
      </c>
      <c r="B257" s="435" t="s">
        <v>693</v>
      </c>
      <c r="C257" s="424"/>
      <c r="D257" s="425"/>
      <c r="E257" s="425"/>
      <c r="F257" s="425"/>
      <c r="G257" s="434">
        <v>29780.2</v>
      </c>
      <c r="H257" s="434"/>
      <c r="I257" s="434"/>
      <c r="J257" s="429">
        <v>13841.885999999999</v>
      </c>
      <c r="K257" s="434"/>
      <c r="L257" s="434"/>
      <c r="M257" s="429">
        <v>13841.885999999999</v>
      </c>
      <c r="N257" s="434"/>
      <c r="O257" s="434"/>
      <c r="P257" s="434">
        <v>28450</v>
      </c>
      <c r="Q257" s="434"/>
      <c r="R257" s="434"/>
      <c r="S257" s="434">
        <v>6500.886</v>
      </c>
      <c r="T257" s="434"/>
      <c r="U257" s="434"/>
      <c r="V257" s="434"/>
      <c r="W257" s="434"/>
      <c r="X257" s="434"/>
    </row>
    <row r="258" spans="1:24" ht="12">
      <c r="A258" s="427"/>
      <c r="B258" s="428" t="s">
        <v>672</v>
      </c>
      <c r="C258" s="424"/>
      <c r="D258" s="425"/>
      <c r="E258" s="425"/>
      <c r="F258" s="425"/>
      <c r="G258" s="434">
        <v>28312.2</v>
      </c>
      <c r="H258" s="434"/>
      <c r="I258" s="434"/>
      <c r="J258" s="429">
        <v>12771.157</v>
      </c>
      <c r="K258" s="434"/>
      <c r="L258" s="434"/>
      <c r="M258" s="429">
        <v>12771.157</v>
      </c>
      <c r="N258" s="434"/>
      <c r="O258" s="434"/>
      <c r="P258" s="434">
        <v>24912.2</v>
      </c>
      <c r="Q258" s="434"/>
      <c r="R258" s="434"/>
      <c r="S258" s="434">
        <v>5720.157</v>
      </c>
      <c r="T258" s="434"/>
      <c r="U258" s="434"/>
      <c r="V258" s="434"/>
      <c r="W258" s="434"/>
      <c r="X258" s="434"/>
    </row>
    <row r="259" spans="1:24" ht="12">
      <c r="A259" s="425" t="s">
        <v>639</v>
      </c>
      <c r="B259" s="426" t="s">
        <v>640</v>
      </c>
      <c r="C259" s="424"/>
      <c r="D259" s="425"/>
      <c r="E259" s="425"/>
      <c r="F259" s="425"/>
      <c r="G259" s="434">
        <v>28312.2</v>
      </c>
      <c r="H259" s="434"/>
      <c r="I259" s="434"/>
      <c r="J259" s="434">
        <v>12771.157</v>
      </c>
      <c r="K259" s="434"/>
      <c r="L259" s="434"/>
      <c r="M259" s="434">
        <v>12771.157</v>
      </c>
      <c r="N259" s="434"/>
      <c r="O259" s="434"/>
      <c r="P259" s="434">
        <v>24912.2</v>
      </c>
      <c r="Q259" s="434"/>
      <c r="R259" s="434"/>
      <c r="S259" s="434">
        <v>5720.157</v>
      </c>
      <c r="T259" s="434"/>
      <c r="U259" s="434"/>
      <c r="V259" s="434"/>
      <c r="W259" s="434"/>
      <c r="X259" s="434"/>
    </row>
    <row r="260" spans="1:24" ht="12">
      <c r="A260" s="425" t="s">
        <v>561</v>
      </c>
      <c r="B260" s="426" t="s">
        <v>694</v>
      </c>
      <c r="C260" s="424"/>
      <c r="D260" s="425"/>
      <c r="E260" s="425"/>
      <c r="F260" s="425"/>
      <c r="G260" s="434">
        <v>25522.2</v>
      </c>
      <c r="H260" s="434"/>
      <c r="I260" s="434"/>
      <c r="J260" s="434">
        <v>10693</v>
      </c>
      <c r="K260" s="434"/>
      <c r="L260" s="434"/>
      <c r="M260" s="434">
        <v>10693</v>
      </c>
      <c r="N260" s="434"/>
      <c r="O260" s="434"/>
      <c r="P260" s="434">
        <v>17727.2</v>
      </c>
      <c r="Q260" s="434"/>
      <c r="R260" s="434"/>
      <c r="S260" s="434">
        <v>5451</v>
      </c>
      <c r="T260" s="434"/>
      <c r="U260" s="434"/>
      <c r="V260" s="434"/>
      <c r="W260" s="434"/>
      <c r="X260" s="434"/>
    </row>
    <row r="261" spans="1:24" ht="12">
      <c r="A261" s="425">
        <v>1</v>
      </c>
      <c r="B261" s="426" t="s">
        <v>695</v>
      </c>
      <c r="C261" s="424"/>
      <c r="D261" s="425"/>
      <c r="E261" s="425"/>
      <c r="F261" s="425"/>
      <c r="G261" s="434">
        <v>10000</v>
      </c>
      <c r="H261" s="434"/>
      <c r="I261" s="434"/>
      <c r="J261" s="434">
        <v>2955</v>
      </c>
      <c r="K261" s="434"/>
      <c r="L261" s="434"/>
      <c r="M261" s="434">
        <v>2955</v>
      </c>
      <c r="N261" s="434"/>
      <c r="O261" s="434"/>
      <c r="P261" s="434">
        <v>2955</v>
      </c>
      <c r="Q261" s="434"/>
      <c r="R261" s="434"/>
      <c r="S261" s="434">
        <v>277</v>
      </c>
      <c r="T261" s="434"/>
      <c r="U261" s="434"/>
      <c r="V261" s="434"/>
      <c r="W261" s="434"/>
      <c r="X261" s="434"/>
    </row>
    <row r="262" spans="1:24" ht="12">
      <c r="A262" s="425">
        <v>2</v>
      </c>
      <c r="B262" s="426" t="s">
        <v>696</v>
      </c>
      <c r="C262" s="424"/>
      <c r="D262" s="425"/>
      <c r="E262" s="425"/>
      <c r="F262" s="425"/>
      <c r="G262" s="434">
        <v>1455</v>
      </c>
      <c r="H262" s="434"/>
      <c r="I262" s="434"/>
      <c r="J262" s="434">
        <v>1038</v>
      </c>
      <c r="K262" s="434"/>
      <c r="L262" s="434"/>
      <c r="M262" s="434">
        <v>1038</v>
      </c>
      <c r="N262" s="434"/>
      <c r="O262" s="434"/>
      <c r="P262" s="434">
        <v>1385</v>
      </c>
      <c r="Q262" s="434"/>
      <c r="R262" s="434"/>
      <c r="S262" s="434">
        <v>1038</v>
      </c>
      <c r="T262" s="434"/>
      <c r="U262" s="434"/>
      <c r="V262" s="434"/>
      <c r="W262" s="434"/>
      <c r="X262" s="434"/>
    </row>
    <row r="263" spans="1:24" ht="12">
      <c r="A263" s="425">
        <v>3</v>
      </c>
      <c r="B263" s="426" t="s">
        <v>697</v>
      </c>
      <c r="C263" s="424"/>
      <c r="D263" s="425"/>
      <c r="E263" s="425"/>
      <c r="F263" s="425"/>
      <c r="G263" s="434">
        <v>1650</v>
      </c>
      <c r="H263" s="434"/>
      <c r="I263" s="434"/>
      <c r="J263" s="434">
        <v>1193</v>
      </c>
      <c r="K263" s="434"/>
      <c r="L263" s="434"/>
      <c r="M263" s="434">
        <v>1193</v>
      </c>
      <c r="N263" s="434"/>
      <c r="O263" s="434"/>
      <c r="P263" s="434">
        <v>1570</v>
      </c>
      <c r="Q263" s="434"/>
      <c r="R263" s="434"/>
      <c r="S263" s="434">
        <v>1193</v>
      </c>
      <c r="T263" s="434"/>
      <c r="U263" s="434"/>
      <c r="V263" s="434"/>
      <c r="W263" s="434"/>
      <c r="X263" s="434"/>
    </row>
    <row r="264" spans="1:24" ht="12">
      <c r="A264" s="425">
        <v>4</v>
      </c>
      <c r="B264" s="426" t="s">
        <v>698</v>
      </c>
      <c r="C264" s="424"/>
      <c r="D264" s="425"/>
      <c r="E264" s="425"/>
      <c r="F264" s="425"/>
      <c r="G264" s="434">
        <v>2000</v>
      </c>
      <c r="H264" s="434"/>
      <c r="I264" s="434"/>
      <c r="J264" s="434">
        <v>1900</v>
      </c>
      <c r="K264" s="434"/>
      <c r="L264" s="434"/>
      <c r="M264" s="434">
        <v>1900</v>
      </c>
      <c r="N264" s="434"/>
      <c r="O264" s="434"/>
      <c r="P264" s="434">
        <v>1900</v>
      </c>
      <c r="Q264" s="434"/>
      <c r="R264" s="434"/>
      <c r="S264" s="434">
        <v>1900</v>
      </c>
      <c r="T264" s="434"/>
      <c r="U264" s="434"/>
      <c r="V264" s="434"/>
      <c r="W264" s="434"/>
      <c r="X264" s="434"/>
    </row>
    <row r="265" spans="1:24" ht="12">
      <c r="A265" s="425">
        <v>5</v>
      </c>
      <c r="B265" s="426" t="s">
        <v>699</v>
      </c>
      <c r="C265" s="424"/>
      <c r="D265" s="425"/>
      <c r="E265" s="425"/>
      <c r="F265" s="425"/>
      <c r="G265" s="434">
        <v>1105</v>
      </c>
      <c r="H265" s="434"/>
      <c r="I265" s="434"/>
      <c r="J265" s="434">
        <v>640</v>
      </c>
      <c r="K265" s="434"/>
      <c r="L265" s="434"/>
      <c r="M265" s="434">
        <v>640</v>
      </c>
      <c r="N265" s="434"/>
      <c r="O265" s="434"/>
      <c r="P265" s="434">
        <v>1055</v>
      </c>
      <c r="Q265" s="434"/>
      <c r="R265" s="434"/>
      <c r="S265" s="434">
        <v>70</v>
      </c>
      <c r="T265" s="434"/>
      <c r="U265" s="434"/>
      <c r="V265" s="434"/>
      <c r="W265" s="434"/>
      <c r="X265" s="434"/>
    </row>
    <row r="266" spans="1:24" ht="12">
      <c r="A266" s="425">
        <v>6</v>
      </c>
      <c r="B266" s="426" t="s">
        <v>700</v>
      </c>
      <c r="C266" s="424"/>
      <c r="D266" s="425"/>
      <c r="E266" s="425"/>
      <c r="F266" s="425"/>
      <c r="G266" s="434">
        <v>2300</v>
      </c>
      <c r="H266" s="434"/>
      <c r="I266" s="434"/>
      <c r="J266" s="434">
        <v>647</v>
      </c>
      <c r="K266" s="434"/>
      <c r="L266" s="434"/>
      <c r="M266" s="434">
        <v>647</v>
      </c>
      <c r="N266" s="434"/>
      <c r="O266" s="434"/>
      <c r="P266" s="434">
        <v>2190</v>
      </c>
      <c r="Q266" s="434"/>
      <c r="R266" s="434"/>
      <c r="S266" s="434">
        <v>68</v>
      </c>
      <c r="T266" s="434"/>
      <c r="U266" s="434"/>
      <c r="V266" s="434"/>
      <c r="W266" s="434"/>
      <c r="X266" s="434"/>
    </row>
    <row r="267" spans="1:24" ht="12">
      <c r="A267" s="425">
        <v>7</v>
      </c>
      <c r="B267" s="426" t="s">
        <v>701</v>
      </c>
      <c r="C267" s="424"/>
      <c r="D267" s="425"/>
      <c r="E267" s="425"/>
      <c r="F267" s="425"/>
      <c r="G267" s="434">
        <v>804</v>
      </c>
      <c r="H267" s="434"/>
      <c r="I267" s="434"/>
      <c r="J267" s="434">
        <v>133</v>
      </c>
      <c r="K267" s="434"/>
      <c r="L267" s="434"/>
      <c r="M267" s="434">
        <v>133</v>
      </c>
      <c r="N267" s="434"/>
      <c r="O267" s="434"/>
      <c r="P267" s="434">
        <v>764</v>
      </c>
      <c r="Q267" s="434"/>
      <c r="R267" s="434"/>
      <c r="S267" s="434">
        <v>133</v>
      </c>
      <c r="T267" s="434"/>
      <c r="U267" s="434"/>
      <c r="V267" s="434"/>
      <c r="W267" s="434"/>
      <c r="X267" s="434"/>
    </row>
    <row r="268" spans="1:24" ht="12">
      <c r="A268" s="425">
        <v>8</v>
      </c>
      <c r="B268" s="426" t="s">
        <v>702</v>
      </c>
      <c r="C268" s="424"/>
      <c r="D268" s="425"/>
      <c r="E268" s="425"/>
      <c r="F268" s="425"/>
      <c r="G268" s="434">
        <v>3104</v>
      </c>
      <c r="H268" s="434"/>
      <c r="I268" s="434"/>
      <c r="J268" s="434">
        <v>1367</v>
      </c>
      <c r="K268" s="434"/>
      <c r="L268" s="434"/>
      <c r="M268" s="434">
        <v>1367</v>
      </c>
      <c r="N268" s="434"/>
      <c r="O268" s="434"/>
      <c r="P268" s="434">
        <v>2954</v>
      </c>
      <c r="Q268" s="434"/>
      <c r="R268" s="434"/>
      <c r="S268" s="434">
        <v>372</v>
      </c>
      <c r="T268" s="434"/>
      <c r="U268" s="434"/>
      <c r="V268" s="434"/>
      <c r="W268" s="434"/>
      <c r="X268" s="434"/>
    </row>
    <row r="269" spans="1:24" ht="12">
      <c r="A269" s="425">
        <v>9</v>
      </c>
      <c r="B269" s="426" t="s">
        <v>703</v>
      </c>
      <c r="C269" s="424"/>
      <c r="D269" s="425"/>
      <c r="E269" s="425"/>
      <c r="F269" s="425"/>
      <c r="G269" s="434">
        <v>1500</v>
      </c>
      <c r="H269" s="434"/>
      <c r="I269" s="434"/>
      <c r="J269" s="434">
        <v>400</v>
      </c>
      <c r="K269" s="434"/>
      <c r="L269" s="434"/>
      <c r="M269" s="434">
        <v>400</v>
      </c>
      <c r="N269" s="434"/>
      <c r="O269" s="434"/>
      <c r="P269" s="434">
        <v>1430</v>
      </c>
      <c r="Q269" s="434"/>
      <c r="R269" s="434"/>
      <c r="S269" s="434">
        <v>400</v>
      </c>
      <c r="T269" s="434"/>
      <c r="U269" s="434"/>
      <c r="V269" s="434"/>
      <c r="W269" s="434"/>
      <c r="X269" s="434"/>
    </row>
    <row r="270" spans="1:24" ht="12">
      <c r="A270" s="425">
        <v>10</v>
      </c>
      <c r="B270" s="426" t="s">
        <v>704</v>
      </c>
      <c r="C270" s="424"/>
      <c r="D270" s="425"/>
      <c r="E270" s="425"/>
      <c r="F270" s="425"/>
      <c r="G270" s="434">
        <v>1604.2</v>
      </c>
      <c r="H270" s="434"/>
      <c r="I270" s="434"/>
      <c r="J270" s="434">
        <v>420</v>
      </c>
      <c r="K270" s="434"/>
      <c r="L270" s="434"/>
      <c r="M270" s="434">
        <v>420</v>
      </c>
      <c r="N270" s="434"/>
      <c r="O270" s="434"/>
      <c r="P270" s="434">
        <v>1524.2</v>
      </c>
      <c r="Q270" s="434"/>
      <c r="R270" s="434"/>
      <c r="S270" s="434">
        <v>0</v>
      </c>
      <c r="T270" s="434"/>
      <c r="U270" s="434"/>
      <c r="V270" s="434"/>
      <c r="W270" s="434"/>
      <c r="X270" s="434"/>
    </row>
    <row r="271" spans="1:24" ht="12">
      <c r="A271" s="425" t="s">
        <v>561</v>
      </c>
      <c r="B271" s="426" t="s">
        <v>705</v>
      </c>
      <c r="C271" s="424"/>
      <c r="D271" s="425"/>
      <c r="E271" s="425"/>
      <c r="F271" s="425"/>
      <c r="G271" s="434">
        <v>2790</v>
      </c>
      <c r="H271" s="434"/>
      <c r="I271" s="434"/>
      <c r="J271" s="434">
        <v>1994</v>
      </c>
      <c r="K271" s="434"/>
      <c r="L271" s="434"/>
      <c r="M271" s="434">
        <v>1994</v>
      </c>
      <c r="N271" s="434"/>
      <c r="O271" s="434"/>
      <c r="P271" s="434">
        <v>2660</v>
      </c>
      <c r="Q271" s="434"/>
      <c r="R271" s="434"/>
      <c r="S271" s="434">
        <v>185</v>
      </c>
      <c r="T271" s="434"/>
      <c r="U271" s="434"/>
      <c r="V271" s="434"/>
      <c r="W271" s="434"/>
      <c r="X271" s="434"/>
    </row>
    <row r="272" spans="1:24" ht="12">
      <c r="A272" s="425">
        <v>1</v>
      </c>
      <c r="B272" s="426" t="s">
        <v>706</v>
      </c>
      <c r="C272" s="424"/>
      <c r="D272" s="425"/>
      <c r="E272" s="425"/>
      <c r="F272" s="425"/>
      <c r="G272" s="434">
        <v>1860</v>
      </c>
      <c r="H272" s="434"/>
      <c r="I272" s="434"/>
      <c r="J272" s="434">
        <v>1304</v>
      </c>
      <c r="K272" s="434"/>
      <c r="L272" s="434"/>
      <c r="M272" s="434">
        <v>1304</v>
      </c>
      <c r="N272" s="434"/>
      <c r="O272" s="434"/>
      <c r="P272" s="434">
        <v>1770</v>
      </c>
      <c r="Q272" s="434"/>
      <c r="R272" s="434"/>
      <c r="S272" s="434">
        <v>135</v>
      </c>
      <c r="T272" s="434"/>
      <c r="U272" s="434"/>
      <c r="V272" s="434"/>
      <c r="W272" s="434"/>
      <c r="X272" s="434"/>
    </row>
    <row r="273" spans="1:24" ht="12">
      <c r="A273" s="425">
        <v>2</v>
      </c>
      <c r="B273" s="426" t="s">
        <v>707</v>
      </c>
      <c r="C273" s="424"/>
      <c r="D273" s="425"/>
      <c r="E273" s="425"/>
      <c r="F273" s="425"/>
      <c r="G273" s="434">
        <v>930</v>
      </c>
      <c r="H273" s="434"/>
      <c r="I273" s="434"/>
      <c r="J273" s="434">
        <v>690</v>
      </c>
      <c r="K273" s="434"/>
      <c r="L273" s="434"/>
      <c r="M273" s="434">
        <v>690</v>
      </c>
      <c r="N273" s="434"/>
      <c r="O273" s="434"/>
      <c r="P273" s="434">
        <v>890</v>
      </c>
      <c r="Q273" s="434"/>
      <c r="R273" s="434"/>
      <c r="S273" s="434">
        <v>50</v>
      </c>
      <c r="T273" s="434"/>
      <c r="U273" s="434"/>
      <c r="V273" s="434"/>
      <c r="W273" s="434"/>
      <c r="X273" s="434"/>
    </row>
    <row r="274" spans="1:24" ht="12">
      <c r="A274" s="425" t="s">
        <v>561</v>
      </c>
      <c r="B274" s="426" t="s">
        <v>708</v>
      </c>
      <c r="C274" s="424"/>
      <c r="D274" s="425"/>
      <c r="E274" s="425"/>
      <c r="F274" s="425"/>
      <c r="G274" s="434">
        <v>0</v>
      </c>
      <c r="H274" s="434"/>
      <c r="I274" s="434"/>
      <c r="J274" s="434">
        <v>84.157</v>
      </c>
      <c r="K274" s="434"/>
      <c r="L274" s="434"/>
      <c r="M274" s="434">
        <v>84.157</v>
      </c>
      <c r="N274" s="434"/>
      <c r="O274" s="434"/>
      <c r="P274" s="434">
        <v>4525</v>
      </c>
      <c r="Q274" s="434"/>
      <c r="R274" s="434"/>
      <c r="S274" s="434">
        <v>84.157</v>
      </c>
      <c r="T274" s="434"/>
      <c r="U274" s="434"/>
      <c r="V274" s="434"/>
      <c r="W274" s="434"/>
      <c r="X274" s="434"/>
    </row>
    <row r="275" spans="1:24" ht="12">
      <c r="A275" s="425"/>
      <c r="B275" s="426" t="s">
        <v>695</v>
      </c>
      <c r="C275" s="424"/>
      <c r="D275" s="425"/>
      <c r="E275" s="425"/>
      <c r="F275" s="425"/>
      <c r="G275" s="434"/>
      <c r="H275" s="434"/>
      <c r="I275" s="434"/>
      <c r="J275" s="434">
        <v>84.157</v>
      </c>
      <c r="K275" s="434"/>
      <c r="L275" s="434"/>
      <c r="M275" s="434">
        <v>84.157</v>
      </c>
      <c r="N275" s="434"/>
      <c r="O275" s="434"/>
      <c r="P275" s="434">
        <v>4525</v>
      </c>
      <c r="Q275" s="434"/>
      <c r="R275" s="434"/>
      <c r="S275" s="434">
        <v>84.157</v>
      </c>
      <c r="T275" s="434"/>
      <c r="U275" s="434"/>
      <c r="V275" s="434"/>
      <c r="W275" s="434"/>
      <c r="X275" s="434"/>
    </row>
    <row r="276" spans="1:24" ht="12">
      <c r="A276" s="427"/>
      <c r="B276" s="428" t="s">
        <v>667</v>
      </c>
      <c r="C276" s="424"/>
      <c r="D276" s="425"/>
      <c r="E276" s="425"/>
      <c r="F276" s="425"/>
      <c r="G276" s="434">
        <v>1468</v>
      </c>
      <c r="H276" s="434"/>
      <c r="I276" s="434"/>
      <c r="J276" s="429">
        <v>1070.729</v>
      </c>
      <c r="K276" s="434"/>
      <c r="L276" s="434"/>
      <c r="M276" s="429">
        <v>1070.729</v>
      </c>
      <c r="N276" s="434"/>
      <c r="O276" s="434"/>
      <c r="P276" s="434">
        <v>3537.8</v>
      </c>
      <c r="Q276" s="434"/>
      <c r="R276" s="434"/>
      <c r="S276" s="434">
        <v>780.729</v>
      </c>
      <c r="T276" s="434"/>
      <c r="U276" s="434"/>
      <c r="V276" s="434"/>
      <c r="W276" s="434"/>
      <c r="X276" s="434"/>
    </row>
    <row r="277" spans="1:24" ht="12">
      <c r="A277" s="425" t="s">
        <v>561</v>
      </c>
      <c r="B277" s="426" t="s">
        <v>568</v>
      </c>
      <c r="C277" s="424"/>
      <c r="D277" s="425"/>
      <c r="E277" s="425"/>
      <c r="F277" s="425"/>
      <c r="G277" s="434"/>
      <c r="H277" s="434"/>
      <c r="I277" s="434"/>
      <c r="J277" s="434"/>
      <c r="K277" s="434"/>
      <c r="L277" s="434"/>
      <c r="M277" s="434"/>
      <c r="N277" s="434"/>
      <c r="O277" s="434"/>
      <c r="P277" s="434"/>
      <c r="Q277" s="434"/>
      <c r="R277" s="434"/>
      <c r="S277" s="434"/>
      <c r="T277" s="434"/>
      <c r="U277" s="434"/>
      <c r="V277" s="434"/>
      <c r="W277" s="434"/>
      <c r="X277" s="434"/>
    </row>
    <row r="278" spans="1:24" ht="12">
      <c r="A278" s="425"/>
      <c r="B278" s="426" t="s">
        <v>709</v>
      </c>
      <c r="C278" s="424"/>
      <c r="D278" s="425"/>
      <c r="E278" s="425"/>
      <c r="F278" s="425"/>
      <c r="G278" s="434"/>
      <c r="H278" s="434"/>
      <c r="I278" s="434"/>
      <c r="J278" s="434">
        <v>0</v>
      </c>
      <c r="K278" s="434"/>
      <c r="L278" s="434"/>
      <c r="M278" s="434">
        <v>0</v>
      </c>
      <c r="N278" s="434"/>
      <c r="O278" s="434"/>
      <c r="P278" s="434">
        <v>38</v>
      </c>
      <c r="Q278" s="434"/>
      <c r="R278" s="434"/>
      <c r="S278" s="434">
        <v>0</v>
      </c>
      <c r="T278" s="434"/>
      <c r="U278" s="434"/>
      <c r="V278" s="434"/>
      <c r="W278" s="434"/>
      <c r="X278" s="434"/>
    </row>
    <row r="279" spans="1:24" ht="12">
      <c r="A279" s="425" t="s">
        <v>639</v>
      </c>
      <c r="B279" s="426" t="s">
        <v>555</v>
      </c>
      <c r="C279" s="424"/>
      <c r="D279" s="425"/>
      <c r="E279" s="425"/>
      <c r="F279" s="425"/>
      <c r="G279" s="434">
        <v>734</v>
      </c>
      <c r="H279" s="434"/>
      <c r="I279" s="434"/>
      <c r="J279" s="434">
        <v>0</v>
      </c>
      <c r="K279" s="434"/>
      <c r="L279" s="434"/>
      <c r="M279" s="434">
        <v>0</v>
      </c>
      <c r="N279" s="434"/>
      <c r="O279" s="434"/>
      <c r="P279" s="434">
        <v>698.5</v>
      </c>
      <c r="Q279" s="434"/>
      <c r="R279" s="434"/>
      <c r="S279" s="434">
        <v>0</v>
      </c>
      <c r="T279" s="434"/>
      <c r="U279" s="434"/>
      <c r="V279" s="434"/>
      <c r="W279" s="434"/>
      <c r="X279" s="434"/>
    </row>
    <row r="280" spans="1:24" ht="12">
      <c r="A280" s="425">
        <v>2</v>
      </c>
      <c r="B280" s="426" t="s">
        <v>710</v>
      </c>
      <c r="C280" s="424"/>
      <c r="D280" s="425"/>
      <c r="E280" s="425"/>
      <c r="F280" s="425"/>
      <c r="G280" s="434">
        <v>734</v>
      </c>
      <c r="H280" s="434"/>
      <c r="I280" s="434"/>
      <c r="J280" s="434">
        <v>0</v>
      </c>
      <c r="K280" s="434"/>
      <c r="L280" s="434"/>
      <c r="M280" s="434">
        <v>0</v>
      </c>
      <c r="N280" s="434"/>
      <c r="O280" s="434"/>
      <c r="P280" s="434">
        <v>698.5</v>
      </c>
      <c r="Q280" s="434"/>
      <c r="R280" s="434"/>
      <c r="S280" s="434">
        <v>0</v>
      </c>
      <c r="T280" s="434"/>
      <c r="U280" s="434"/>
      <c r="V280" s="434"/>
      <c r="W280" s="434"/>
      <c r="X280" s="434"/>
    </row>
    <row r="281" spans="1:24" ht="12">
      <c r="A281" s="425" t="s">
        <v>649</v>
      </c>
      <c r="B281" s="426" t="s">
        <v>556</v>
      </c>
      <c r="C281" s="424"/>
      <c r="D281" s="425"/>
      <c r="E281" s="425"/>
      <c r="F281" s="425"/>
      <c r="G281" s="434">
        <v>734</v>
      </c>
      <c r="H281" s="434"/>
      <c r="I281" s="434"/>
      <c r="J281" s="434">
        <v>0</v>
      </c>
      <c r="K281" s="434"/>
      <c r="L281" s="434"/>
      <c r="M281" s="434">
        <v>0</v>
      </c>
      <c r="N281" s="434"/>
      <c r="O281" s="434"/>
      <c r="P281" s="434">
        <v>698.5</v>
      </c>
      <c r="Q281" s="434"/>
      <c r="R281" s="434"/>
      <c r="S281" s="434">
        <v>0</v>
      </c>
      <c r="T281" s="434"/>
      <c r="U281" s="434"/>
      <c r="V281" s="434"/>
      <c r="W281" s="434"/>
      <c r="X281" s="434"/>
    </row>
    <row r="282" spans="1:24" ht="12">
      <c r="A282" s="425">
        <v>3</v>
      </c>
      <c r="B282" s="426" t="s">
        <v>579</v>
      </c>
      <c r="C282" s="424"/>
      <c r="D282" s="425"/>
      <c r="E282" s="425"/>
      <c r="F282" s="425"/>
      <c r="G282" s="434">
        <v>734</v>
      </c>
      <c r="H282" s="434"/>
      <c r="I282" s="434"/>
      <c r="J282" s="434">
        <v>0</v>
      </c>
      <c r="K282" s="434"/>
      <c r="L282" s="434"/>
      <c r="M282" s="434">
        <v>0</v>
      </c>
      <c r="N282" s="434"/>
      <c r="O282" s="434"/>
      <c r="P282" s="434">
        <v>698.5</v>
      </c>
      <c r="Q282" s="434"/>
      <c r="R282" s="434"/>
      <c r="S282" s="434">
        <v>0</v>
      </c>
      <c r="T282" s="434"/>
      <c r="U282" s="434"/>
      <c r="V282" s="434"/>
      <c r="W282" s="434"/>
      <c r="X282" s="434"/>
    </row>
    <row r="283" spans="1:24" ht="12">
      <c r="A283" s="425" t="s">
        <v>561</v>
      </c>
      <c r="B283" s="426" t="s">
        <v>711</v>
      </c>
      <c r="C283" s="424"/>
      <c r="D283" s="425"/>
      <c r="E283" s="425"/>
      <c r="F283" s="425"/>
      <c r="G283" s="434"/>
      <c r="H283" s="434"/>
      <c r="I283" s="434"/>
      <c r="J283" s="434"/>
      <c r="K283" s="434"/>
      <c r="L283" s="434"/>
      <c r="M283" s="434"/>
      <c r="N283" s="434"/>
      <c r="O283" s="434"/>
      <c r="P283" s="434"/>
      <c r="Q283" s="434"/>
      <c r="R283" s="434"/>
      <c r="S283" s="434"/>
      <c r="T283" s="434"/>
      <c r="U283" s="434"/>
      <c r="V283" s="434"/>
      <c r="W283" s="434"/>
      <c r="X283" s="434"/>
    </row>
    <row r="284" spans="1:24" ht="12">
      <c r="A284" s="425" t="s">
        <v>655</v>
      </c>
      <c r="B284" s="426" t="s">
        <v>547</v>
      </c>
      <c r="C284" s="424"/>
      <c r="D284" s="425"/>
      <c r="E284" s="425"/>
      <c r="F284" s="425"/>
      <c r="G284" s="434">
        <v>0</v>
      </c>
      <c r="H284" s="434"/>
      <c r="I284" s="434"/>
      <c r="J284" s="434">
        <v>290</v>
      </c>
      <c r="K284" s="434"/>
      <c r="L284" s="434"/>
      <c r="M284" s="434">
        <v>290</v>
      </c>
      <c r="N284" s="434"/>
      <c r="O284" s="434"/>
      <c r="P284" s="434">
        <v>448</v>
      </c>
      <c r="Q284" s="434"/>
      <c r="R284" s="434"/>
      <c r="S284" s="434">
        <v>0</v>
      </c>
      <c r="T284" s="434"/>
      <c r="U284" s="434"/>
      <c r="V284" s="434"/>
      <c r="W284" s="434"/>
      <c r="X284" s="434"/>
    </row>
    <row r="285" spans="1:24" ht="12">
      <c r="A285" s="425">
        <v>1</v>
      </c>
      <c r="B285" s="426" t="s">
        <v>712</v>
      </c>
      <c r="C285" s="424"/>
      <c r="D285" s="425"/>
      <c r="E285" s="425"/>
      <c r="F285" s="425"/>
      <c r="G285" s="434"/>
      <c r="H285" s="434"/>
      <c r="I285" s="434"/>
      <c r="J285" s="434">
        <v>290</v>
      </c>
      <c r="K285" s="434"/>
      <c r="L285" s="434"/>
      <c r="M285" s="434">
        <v>290</v>
      </c>
      <c r="N285" s="434"/>
      <c r="O285" s="434"/>
      <c r="P285" s="434">
        <v>448</v>
      </c>
      <c r="Q285" s="434"/>
      <c r="R285" s="434"/>
      <c r="S285" s="434">
        <v>0</v>
      </c>
      <c r="T285" s="434"/>
      <c r="U285" s="434"/>
      <c r="V285" s="434"/>
      <c r="W285" s="434"/>
      <c r="X285" s="434"/>
    </row>
    <row r="286" spans="1:24" ht="12">
      <c r="A286" s="425" t="s">
        <v>656</v>
      </c>
      <c r="B286" s="426" t="s">
        <v>548</v>
      </c>
      <c r="C286" s="424"/>
      <c r="D286" s="425"/>
      <c r="E286" s="425"/>
      <c r="F286" s="425"/>
      <c r="G286" s="434">
        <v>0</v>
      </c>
      <c r="H286" s="434"/>
      <c r="I286" s="434"/>
      <c r="J286" s="434">
        <v>384</v>
      </c>
      <c r="K286" s="434"/>
      <c r="L286" s="434"/>
      <c r="M286" s="434">
        <v>384</v>
      </c>
      <c r="N286" s="434"/>
      <c r="O286" s="434"/>
      <c r="P286" s="434">
        <v>447</v>
      </c>
      <c r="Q286" s="434"/>
      <c r="R286" s="434"/>
      <c r="S286" s="434">
        <v>384</v>
      </c>
      <c r="T286" s="434"/>
      <c r="U286" s="434"/>
      <c r="V286" s="434"/>
      <c r="W286" s="434"/>
      <c r="X286" s="434"/>
    </row>
    <row r="287" spans="1:24" ht="12">
      <c r="A287" s="425">
        <v>2</v>
      </c>
      <c r="B287" s="426" t="s">
        <v>713</v>
      </c>
      <c r="C287" s="424"/>
      <c r="D287" s="425"/>
      <c r="E287" s="425"/>
      <c r="F287" s="425"/>
      <c r="G287" s="434"/>
      <c r="H287" s="434"/>
      <c r="I287" s="434"/>
      <c r="J287" s="434">
        <v>384</v>
      </c>
      <c r="K287" s="434"/>
      <c r="L287" s="434"/>
      <c r="M287" s="434">
        <v>384</v>
      </c>
      <c r="N287" s="434"/>
      <c r="O287" s="434"/>
      <c r="P287" s="434">
        <v>447</v>
      </c>
      <c r="Q287" s="434"/>
      <c r="R287" s="434"/>
      <c r="S287" s="434">
        <v>384</v>
      </c>
      <c r="T287" s="434"/>
      <c r="U287" s="434"/>
      <c r="V287" s="434"/>
      <c r="W287" s="434"/>
      <c r="X287" s="434"/>
    </row>
    <row r="288" spans="1:24" ht="12">
      <c r="A288" s="425" t="s">
        <v>665</v>
      </c>
      <c r="B288" s="426" t="s">
        <v>551</v>
      </c>
      <c r="C288" s="424"/>
      <c r="D288" s="425"/>
      <c r="E288" s="425"/>
      <c r="F288" s="425"/>
      <c r="G288" s="434">
        <v>0</v>
      </c>
      <c r="H288" s="434"/>
      <c r="I288" s="434"/>
      <c r="J288" s="434">
        <v>0</v>
      </c>
      <c r="K288" s="434"/>
      <c r="L288" s="434"/>
      <c r="M288" s="434">
        <v>0</v>
      </c>
      <c r="N288" s="434"/>
      <c r="O288" s="434"/>
      <c r="P288" s="434">
        <v>446.8</v>
      </c>
      <c r="Q288" s="434"/>
      <c r="R288" s="434"/>
      <c r="S288" s="434">
        <v>0</v>
      </c>
      <c r="T288" s="434"/>
      <c r="U288" s="434"/>
      <c r="V288" s="434"/>
      <c r="W288" s="434"/>
      <c r="X288" s="434"/>
    </row>
    <row r="289" spans="1:24" ht="12">
      <c r="A289" s="425">
        <v>3</v>
      </c>
      <c r="B289" s="426" t="s">
        <v>714</v>
      </c>
      <c r="C289" s="424"/>
      <c r="D289" s="425"/>
      <c r="E289" s="425"/>
      <c r="F289" s="425"/>
      <c r="G289" s="434"/>
      <c r="H289" s="434"/>
      <c r="I289" s="434"/>
      <c r="J289" s="434">
        <v>0</v>
      </c>
      <c r="K289" s="434"/>
      <c r="L289" s="434"/>
      <c r="M289" s="434">
        <v>0</v>
      </c>
      <c r="N289" s="434"/>
      <c r="O289" s="434"/>
      <c r="P289" s="434">
        <v>446.8</v>
      </c>
      <c r="Q289" s="434"/>
      <c r="R289" s="434"/>
      <c r="S289" s="434">
        <v>0</v>
      </c>
      <c r="T289" s="434"/>
      <c r="U289" s="434"/>
      <c r="V289" s="434"/>
      <c r="W289" s="434"/>
      <c r="X289" s="434"/>
    </row>
    <row r="290" spans="1:24" ht="12">
      <c r="A290" s="425" t="s">
        <v>666</v>
      </c>
      <c r="B290" s="426" t="s">
        <v>583</v>
      </c>
      <c r="C290" s="424"/>
      <c r="D290" s="425"/>
      <c r="E290" s="425"/>
      <c r="F290" s="425"/>
      <c r="G290" s="434">
        <v>0</v>
      </c>
      <c r="H290" s="434"/>
      <c r="I290" s="434"/>
      <c r="J290" s="434">
        <v>396.729</v>
      </c>
      <c r="K290" s="434"/>
      <c r="L290" s="434"/>
      <c r="M290" s="434">
        <v>396.729</v>
      </c>
      <c r="N290" s="434"/>
      <c r="O290" s="434"/>
      <c r="P290" s="434">
        <v>446</v>
      </c>
      <c r="Q290" s="434"/>
      <c r="R290" s="434"/>
      <c r="S290" s="434">
        <v>396.729</v>
      </c>
      <c r="T290" s="434"/>
      <c r="U290" s="434"/>
      <c r="V290" s="434"/>
      <c r="W290" s="434"/>
      <c r="X290" s="434"/>
    </row>
    <row r="291" spans="1:24" ht="12">
      <c r="A291" s="425">
        <v>4</v>
      </c>
      <c r="B291" s="426" t="s">
        <v>715</v>
      </c>
      <c r="C291" s="424"/>
      <c r="D291" s="425"/>
      <c r="E291" s="425"/>
      <c r="F291" s="425"/>
      <c r="G291" s="434"/>
      <c r="H291" s="434"/>
      <c r="I291" s="434"/>
      <c r="J291" s="434">
        <v>396.729</v>
      </c>
      <c r="K291" s="434"/>
      <c r="L291" s="434"/>
      <c r="M291" s="434">
        <v>396.729</v>
      </c>
      <c r="N291" s="434"/>
      <c r="O291" s="434"/>
      <c r="P291" s="434">
        <v>446</v>
      </c>
      <c r="Q291" s="434"/>
      <c r="R291" s="434"/>
      <c r="S291" s="434">
        <v>396.729</v>
      </c>
      <c r="T291" s="434"/>
      <c r="U291" s="434"/>
      <c r="V291" s="434"/>
      <c r="W291" s="434"/>
      <c r="X291" s="434"/>
    </row>
    <row r="292" spans="1:24" ht="12">
      <c r="A292" s="425" t="s">
        <v>716</v>
      </c>
      <c r="B292" s="426" t="s">
        <v>556</v>
      </c>
      <c r="C292" s="424"/>
      <c r="D292" s="425"/>
      <c r="E292" s="425"/>
      <c r="F292" s="425"/>
      <c r="G292" s="434">
        <v>0</v>
      </c>
      <c r="H292" s="434"/>
      <c r="I292" s="434"/>
      <c r="J292" s="434">
        <v>0</v>
      </c>
      <c r="K292" s="434"/>
      <c r="L292" s="434"/>
      <c r="M292" s="434">
        <v>0</v>
      </c>
      <c r="N292" s="434"/>
      <c r="O292" s="434"/>
      <c r="P292" s="434">
        <v>157.5</v>
      </c>
      <c r="Q292" s="434"/>
      <c r="R292" s="434"/>
      <c r="S292" s="434">
        <v>0</v>
      </c>
      <c r="T292" s="434"/>
      <c r="U292" s="434"/>
      <c r="V292" s="434"/>
      <c r="W292" s="434"/>
      <c r="X292" s="434"/>
    </row>
    <row r="293" spans="1:24" ht="12">
      <c r="A293" s="425">
        <v>5</v>
      </c>
      <c r="B293" s="426" t="s">
        <v>717</v>
      </c>
      <c r="C293" s="424"/>
      <c r="D293" s="425"/>
      <c r="E293" s="425"/>
      <c r="F293" s="425"/>
      <c r="G293" s="434"/>
      <c r="H293" s="434"/>
      <c r="I293" s="434"/>
      <c r="J293" s="434">
        <v>0</v>
      </c>
      <c r="K293" s="434"/>
      <c r="L293" s="434"/>
      <c r="M293" s="434">
        <v>0</v>
      </c>
      <c r="N293" s="434"/>
      <c r="O293" s="434"/>
      <c r="P293" s="434">
        <v>157.5</v>
      </c>
      <c r="Q293" s="434"/>
      <c r="R293" s="434"/>
      <c r="S293" s="434">
        <v>0</v>
      </c>
      <c r="T293" s="434"/>
      <c r="U293" s="434"/>
      <c r="V293" s="434"/>
      <c r="W293" s="434"/>
      <c r="X293" s="434"/>
    </row>
    <row r="294" spans="1:24" ht="12">
      <c r="A294" s="425" t="s">
        <v>718</v>
      </c>
      <c r="B294" s="426" t="s">
        <v>557</v>
      </c>
      <c r="C294" s="424"/>
      <c r="D294" s="425"/>
      <c r="E294" s="425"/>
      <c r="F294" s="425"/>
      <c r="G294" s="434">
        <v>0</v>
      </c>
      <c r="H294" s="434"/>
      <c r="I294" s="434"/>
      <c r="J294" s="434">
        <f>J295</f>
        <v>0</v>
      </c>
      <c r="K294" s="434"/>
      <c r="L294" s="434"/>
      <c r="M294" s="434">
        <v>0</v>
      </c>
      <c r="N294" s="434"/>
      <c r="O294" s="434"/>
      <c r="P294" s="434">
        <v>157.5</v>
      </c>
      <c r="Q294" s="434"/>
      <c r="R294" s="434"/>
      <c r="S294" s="434">
        <v>0</v>
      </c>
      <c r="T294" s="434"/>
      <c r="U294" s="434"/>
      <c r="V294" s="434"/>
      <c r="W294" s="434"/>
      <c r="X294" s="434"/>
    </row>
    <row r="295" spans="1:24" ht="12">
      <c r="A295" s="437">
        <v>6</v>
      </c>
      <c r="B295" s="438" t="s">
        <v>719</v>
      </c>
      <c r="C295" s="439"/>
      <c r="D295" s="437"/>
      <c r="E295" s="437"/>
      <c r="F295" s="437"/>
      <c r="G295" s="440"/>
      <c r="H295" s="440"/>
      <c r="I295" s="440"/>
      <c r="J295" s="440">
        <v>0</v>
      </c>
      <c r="K295" s="440"/>
      <c r="L295" s="440"/>
      <c r="M295" s="440">
        <v>0</v>
      </c>
      <c r="N295" s="440"/>
      <c r="O295" s="440"/>
      <c r="P295" s="440">
        <v>157.5</v>
      </c>
      <c r="Q295" s="440"/>
      <c r="R295" s="440"/>
      <c r="S295" s="440">
        <v>0</v>
      </c>
      <c r="T295" s="440"/>
      <c r="U295" s="440"/>
      <c r="V295" s="440"/>
      <c r="W295" s="440"/>
      <c r="X295" s="440"/>
    </row>
  </sheetData>
  <sheetProtection/>
  <mergeCells count="29">
    <mergeCell ref="B27:F27"/>
    <mergeCell ref="A6:A9"/>
    <mergeCell ref="B6:B9"/>
    <mergeCell ref="C6:C9"/>
    <mergeCell ref="D6:D9"/>
    <mergeCell ref="E6:E9"/>
    <mergeCell ref="F7:F9"/>
    <mergeCell ref="G8:G9"/>
    <mergeCell ref="G7:I7"/>
    <mergeCell ref="H8:I8"/>
    <mergeCell ref="T8:U8"/>
    <mergeCell ref="V8:V9"/>
    <mergeCell ref="W8:X8"/>
    <mergeCell ref="V6:X7"/>
    <mergeCell ref="S6:U7"/>
    <mergeCell ref="J8:J9"/>
    <mergeCell ref="S8:S9"/>
    <mergeCell ref="K8:L8"/>
    <mergeCell ref="N8:O8"/>
    <mergeCell ref="P8:P9"/>
    <mergeCell ref="Q8:R8"/>
    <mergeCell ref="M8:M9"/>
    <mergeCell ref="P6:R7"/>
    <mergeCell ref="A3:X3"/>
    <mergeCell ref="A4:X4"/>
    <mergeCell ref="V5:X5"/>
    <mergeCell ref="F6:I6"/>
    <mergeCell ref="J6:L7"/>
    <mergeCell ref="M6:O7"/>
  </mergeCells>
  <printOptions horizontalCentered="1"/>
  <pageMargins left="0" right="0" top="0.984251968503937" bottom="0.3937007874015748"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N25"/>
  <sheetViews>
    <sheetView zoomScalePageLayoutView="0" workbookViewId="0" topLeftCell="A1">
      <selection activeCell="A4" sqref="A4:L4"/>
    </sheetView>
  </sheetViews>
  <sheetFormatPr defaultColWidth="9.140625" defaultRowHeight="12.75"/>
  <cols>
    <col min="1" max="1" width="3.28125" style="7" customWidth="1"/>
    <col min="2" max="2" width="23.8515625" style="7" customWidth="1"/>
    <col min="3" max="3" width="12.28125" style="7" customWidth="1"/>
    <col min="4" max="4" width="13.140625" style="7" customWidth="1"/>
    <col min="5" max="5" width="10.7109375" style="7" customWidth="1"/>
    <col min="6" max="6" width="11.28125" style="7" customWidth="1"/>
    <col min="7" max="7" width="10.140625" style="7" customWidth="1"/>
    <col min="8" max="8" width="11.00390625" style="7" customWidth="1"/>
    <col min="9" max="9" width="8.7109375" style="7" customWidth="1"/>
    <col min="10" max="10" width="11.7109375" style="7" customWidth="1"/>
    <col min="11" max="11" width="10.28125" style="7" customWidth="1"/>
    <col min="12" max="12" width="12.00390625" style="7" customWidth="1"/>
    <col min="13" max="14" width="9.140625" style="7" customWidth="1"/>
    <col min="15" max="16384" width="9.140625" style="7" customWidth="1"/>
  </cols>
  <sheetData>
    <row r="1" ht="12.75">
      <c r="L1" s="23" t="s">
        <v>225</v>
      </c>
    </row>
    <row r="2" ht="12.75">
      <c r="L2" s="482" t="s">
        <v>625</v>
      </c>
    </row>
    <row r="3" spans="1:12" ht="12.75">
      <c r="A3" s="883" t="s">
        <v>892</v>
      </c>
      <c r="B3" s="883"/>
      <c r="C3" s="883"/>
      <c r="D3" s="883"/>
      <c r="E3" s="883"/>
      <c r="F3" s="883"/>
      <c r="G3" s="883"/>
      <c r="H3" s="883"/>
      <c r="I3" s="883"/>
      <c r="J3" s="883"/>
      <c r="K3" s="883"/>
      <c r="L3" s="883"/>
    </row>
    <row r="4" spans="1:12" ht="12.75">
      <c r="A4" s="884" t="str">
        <f>'bieu 48 '!A4:F4</f>
        <v>(Kèm theo Báo cáo số 627/BC-UBND ngày 10 tháng 7 năm 2024 của UBND huyện Bắc Sơn)</v>
      </c>
      <c r="B4" s="884"/>
      <c r="C4" s="884"/>
      <c r="D4" s="884"/>
      <c r="E4" s="884"/>
      <c r="F4" s="884"/>
      <c r="G4" s="884"/>
      <c r="H4" s="884"/>
      <c r="I4" s="884"/>
      <c r="J4" s="884"/>
      <c r="K4" s="884"/>
      <c r="L4" s="884"/>
    </row>
    <row r="5" ht="12.75">
      <c r="L5" s="363" t="s">
        <v>22</v>
      </c>
    </row>
    <row r="6" spans="1:12" ht="12.75">
      <c r="A6" s="893" t="s">
        <v>23</v>
      </c>
      <c r="B6" s="893" t="s">
        <v>226</v>
      </c>
      <c r="C6" s="893" t="s">
        <v>886</v>
      </c>
      <c r="D6" s="896" t="s">
        <v>887</v>
      </c>
      <c r="E6" s="896"/>
      <c r="F6" s="896"/>
      <c r="G6" s="896"/>
      <c r="H6" s="896" t="s">
        <v>888</v>
      </c>
      <c r="I6" s="896"/>
      <c r="J6" s="896"/>
      <c r="K6" s="896"/>
      <c r="L6" s="893" t="s">
        <v>889</v>
      </c>
    </row>
    <row r="7" spans="1:12" ht="25.5" customHeight="1">
      <c r="A7" s="894"/>
      <c r="B7" s="894"/>
      <c r="C7" s="894"/>
      <c r="D7" s="897" t="s">
        <v>227</v>
      </c>
      <c r="E7" s="897"/>
      <c r="F7" s="898" t="s">
        <v>228</v>
      </c>
      <c r="G7" s="898" t="s">
        <v>229</v>
      </c>
      <c r="H7" s="897" t="s">
        <v>227</v>
      </c>
      <c r="I7" s="897"/>
      <c r="J7" s="898" t="s">
        <v>228</v>
      </c>
      <c r="K7" s="898" t="s">
        <v>229</v>
      </c>
      <c r="L7" s="894"/>
    </row>
    <row r="8" spans="1:12" ht="44.25" customHeight="1">
      <c r="A8" s="895"/>
      <c r="B8" s="895"/>
      <c r="C8" s="895"/>
      <c r="D8" s="733" t="s">
        <v>154</v>
      </c>
      <c r="E8" s="733" t="s">
        <v>890</v>
      </c>
      <c r="F8" s="895"/>
      <c r="G8" s="895"/>
      <c r="H8" s="733" t="s">
        <v>154</v>
      </c>
      <c r="I8" s="733" t="s">
        <v>890</v>
      </c>
      <c r="J8" s="895"/>
      <c r="K8" s="895"/>
      <c r="L8" s="895"/>
    </row>
    <row r="9" spans="1:12" ht="13.5" customHeight="1">
      <c r="A9" s="734" t="s">
        <v>30</v>
      </c>
      <c r="B9" s="734" t="s">
        <v>31</v>
      </c>
      <c r="C9" s="734">
        <v>1</v>
      </c>
      <c r="D9" s="734">
        <v>2</v>
      </c>
      <c r="E9" s="734">
        <v>3</v>
      </c>
      <c r="F9" s="734">
        <v>4</v>
      </c>
      <c r="G9" s="734" t="s">
        <v>230</v>
      </c>
      <c r="H9" s="734">
        <v>6</v>
      </c>
      <c r="I9" s="734">
        <v>7</v>
      </c>
      <c r="J9" s="734">
        <v>8</v>
      </c>
      <c r="K9" s="734" t="s">
        <v>231</v>
      </c>
      <c r="L9" s="734" t="s">
        <v>232</v>
      </c>
    </row>
    <row r="10" spans="1:12" s="740" customFormat="1" ht="21" customHeight="1">
      <c r="A10" s="735">
        <v>1</v>
      </c>
      <c r="B10" s="736" t="s">
        <v>301</v>
      </c>
      <c r="C10" s="737">
        <v>97.24</v>
      </c>
      <c r="D10" s="737"/>
      <c r="E10" s="737"/>
      <c r="F10" s="737"/>
      <c r="G10" s="737">
        <f>D10-F10</f>
        <v>0</v>
      </c>
      <c r="H10" s="737">
        <v>48.938</v>
      </c>
      <c r="I10" s="737"/>
      <c r="J10" s="737">
        <v>64.32</v>
      </c>
      <c r="K10" s="738">
        <f aca="true" t="shared" si="0" ref="K10:K20">H10-J10</f>
        <v>-15.38199999999999</v>
      </c>
      <c r="L10" s="739">
        <f>C10+H10-J10</f>
        <v>81.858</v>
      </c>
    </row>
    <row r="11" spans="1:12" s="740" customFormat="1" ht="21" customHeight="1">
      <c r="A11" s="735">
        <v>2</v>
      </c>
      <c r="B11" s="741" t="s">
        <v>302</v>
      </c>
      <c r="C11" s="738">
        <v>36.83</v>
      </c>
      <c r="D11" s="738"/>
      <c r="E11" s="738"/>
      <c r="F11" s="738"/>
      <c r="G11" s="737">
        <f aca="true" t="shared" si="1" ref="G11:G24">D11-F11</f>
        <v>0</v>
      </c>
      <c r="H11" s="738">
        <v>57.147</v>
      </c>
      <c r="I11" s="738"/>
      <c r="J11" s="738">
        <v>34</v>
      </c>
      <c r="K11" s="738">
        <f t="shared" si="0"/>
        <v>23.147</v>
      </c>
      <c r="L11" s="739">
        <f aca="true" t="shared" si="2" ref="L11:L24">C11+H11-J11</f>
        <v>59.977000000000004</v>
      </c>
    </row>
    <row r="12" spans="1:12" s="742" customFormat="1" ht="27" customHeight="1">
      <c r="A12" s="70">
        <v>3</v>
      </c>
      <c r="B12" s="741" t="s">
        <v>421</v>
      </c>
      <c r="C12" s="738">
        <v>77.08</v>
      </c>
      <c r="D12" s="738"/>
      <c r="E12" s="738"/>
      <c r="F12" s="738"/>
      <c r="G12" s="737">
        <f t="shared" si="1"/>
        <v>0</v>
      </c>
      <c r="H12" s="738">
        <v>25.224</v>
      </c>
      <c r="I12" s="738"/>
      <c r="J12" s="738">
        <v>26.4</v>
      </c>
      <c r="K12" s="738">
        <f t="shared" si="0"/>
        <v>-1.1759999999999984</v>
      </c>
      <c r="L12" s="739">
        <f t="shared" si="2"/>
        <v>75.904</v>
      </c>
    </row>
    <row r="13" spans="1:12" s="748" customFormat="1" ht="21.75" customHeight="1">
      <c r="A13" s="743">
        <v>4</v>
      </c>
      <c r="B13" s="744" t="s">
        <v>422</v>
      </c>
      <c r="C13" s="745">
        <v>270.74</v>
      </c>
      <c r="D13" s="745"/>
      <c r="E13" s="745"/>
      <c r="F13" s="745"/>
      <c r="G13" s="746">
        <f t="shared" si="1"/>
        <v>0</v>
      </c>
      <c r="H13" s="745">
        <v>228.032</v>
      </c>
      <c r="I13" s="745">
        <v>50</v>
      </c>
      <c r="J13" s="745">
        <v>386.785</v>
      </c>
      <c r="K13" s="745">
        <f t="shared" si="0"/>
        <v>-158.75300000000001</v>
      </c>
      <c r="L13" s="747">
        <f t="shared" si="2"/>
        <v>111.98700000000002</v>
      </c>
    </row>
    <row r="14" spans="1:12" s="740" customFormat="1" ht="21.75" customHeight="1">
      <c r="A14" s="735">
        <v>5</v>
      </c>
      <c r="B14" s="741" t="s">
        <v>891</v>
      </c>
      <c r="C14" s="738">
        <v>0</v>
      </c>
      <c r="D14" s="738"/>
      <c r="E14" s="738"/>
      <c r="F14" s="738"/>
      <c r="G14" s="737">
        <f t="shared" si="1"/>
        <v>0</v>
      </c>
      <c r="H14" s="738">
        <v>142.436</v>
      </c>
      <c r="I14" s="738"/>
      <c r="J14" s="738">
        <v>80</v>
      </c>
      <c r="K14" s="738">
        <f t="shared" si="0"/>
        <v>62.43600000000001</v>
      </c>
      <c r="L14" s="739">
        <f t="shared" si="2"/>
        <v>62.43600000000001</v>
      </c>
    </row>
    <row r="15" spans="1:12" s="749" customFormat="1" ht="21.75" customHeight="1">
      <c r="A15" s="735">
        <v>6</v>
      </c>
      <c r="B15" s="741" t="s">
        <v>423</v>
      </c>
      <c r="C15" s="738">
        <v>153.05</v>
      </c>
      <c r="D15" s="738"/>
      <c r="E15" s="738"/>
      <c r="F15" s="738"/>
      <c r="G15" s="737">
        <f t="shared" si="1"/>
        <v>0</v>
      </c>
      <c r="H15" s="738">
        <v>7.452</v>
      </c>
      <c r="I15" s="738"/>
      <c r="J15" s="738">
        <v>28.6</v>
      </c>
      <c r="K15" s="738">
        <f t="shared" si="0"/>
        <v>-21.148000000000003</v>
      </c>
      <c r="L15" s="739">
        <f t="shared" si="2"/>
        <v>131.90200000000002</v>
      </c>
    </row>
    <row r="16" spans="1:12" s="740" customFormat="1" ht="21.75" customHeight="1">
      <c r="A16" s="735">
        <v>7</v>
      </c>
      <c r="B16" s="741" t="s">
        <v>300</v>
      </c>
      <c r="C16" s="738">
        <v>347.5</v>
      </c>
      <c r="D16" s="738"/>
      <c r="E16" s="738"/>
      <c r="F16" s="738"/>
      <c r="G16" s="737">
        <f t="shared" si="1"/>
        <v>0</v>
      </c>
      <c r="H16" s="738">
        <v>564.199</v>
      </c>
      <c r="I16" s="738"/>
      <c r="J16" s="738">
        <v>837.02</v>
      </c>
      <c r="K16" s="738">
        <f t="shared" si="0"/>
        <v>-272.821</v>
      </c>
      <c r="L16" s="739">
        <f t="shared" si="2"/>
        <v>74.67899999999997</v>
      </c>
    </row>
    <row r="17" spans="1:12" s="749" customFormat="1" ht="21.75" customHeight="1">
      <c r="A17" s="735">
        <v>8</v>
      </c>
      <c r="B17" s="741" t="s">
        <v>424</v>
      </c>
      <c r="C17" s="738">
        <v>183.85</v>
      </c>
      <c r="D17" s="738"/>
      <c r="E17" s="738"/>
      <c r="F17" s="738"/>
      <c r="G17" s="737">
        <f t="shared" si="1"/>
        <v>0</v>
      </c>
      <c r="H17" s="738">
        <v>264.045</v>
      </c>
      <c r="I17" s="738"/>
      <c r="J17" s="738">
        <v>263.5</v>
      </c>
      <c r="K17" s="738">
        <f t="shared" si="0"/>
        <v>0.5450000000000159</v>
      </c>
      <c r="L17" s="739">
        <f t="shared" si="2"/>
        <v>184.39499999999998</v>
      </c>
    </row>
    <row r="18" spans="1:12" s="740" customFormat="1" ht="21.75" customHeight="1">
      <c r="A18" s="735">
        <v>9</v>
      </c>
      <c r="B18" s="741" t="s">
        <v>303</v>
      </c>
      <c r="C18" s="738">
        <v>99.44</v>
      </c>
      <c r="D18" s="738"/>
      <c r="E18" s="738"/>
      <c r="F18" s="738"/>
      <c r="G18" s="750">
        <f t="shared" si="1"/>
        <v>0</v>
      </c>
      <c r="H18" s="738">
        <v>125.68</v>
      </c>
      <c r="I18" s="738"/>
      <c r="J18" s="738">
        <v>106.46</v>
      </c>
      <c r="K18" s="738">
        <f t="shared" si="0"/>
        <v>19.220000000000013</v>
      </c>
      <c r="L18" s="739">
        <f t="shared" si="2"/>
        <v>118.66000000000001</v>
      </c>
    </row>
    <row r="19" spans="1:12" s="740" customFormat="1" ht="27" customHeight="1">
      <c r="A19" s="735">
        <v>10</v>
      </c>
      <c r="B19" s="741" t="s">
        <v>425</v>
      </c>
      <c r="C19" s="738">
        <v>912.46</v>
      </c>
      <c r="D19" s="738"/>
      <c r="E19" s="738"/>
      <c r="F19" s="738"/>
      <c r="G19" s="737">
        <f t="shared" si="1"/>
        <v>0</v>
      </c>
      <c r="H19" s="738">
        <v>148.77</v>
      </c>
      <c r="I19" s="738"/>
      <c r="J19" s="738">
        <v>15.12</v>
      </c>
      <c r="K19" s="738">
        <f t="shared" si="0"/>
        <v>133.65</v>
      </c>
      <c r="L19" s="739">
        <f t="shared" si="2"/>
        <v>1046.1100000000001</v>
      </c>
    </row>
    <row r="20" spans="1:12" s="740" customFormat="1" ht="27" customHeight="1">
      <c r="A20" s="735">
        <v>11</v>
      </c>
      <c r="B20" s="741" t="s">
        <v>426</v>
      </c>
      <c r="C20" s="738">
        <v>566.25</v>
      </c>
      <c r="D20" s="738"/>
      <c r="E20" s="738"/>
      <c r="F20" s="738"/>
      <c r="G20" s="737">
        <f t="shared" si="1"/>
        <v>0</v>
      </c>
      <c r="H20" s="738">
        <v>23.03</v>
      </c>
      <c r="I20" s="738"/>
      <c r="J20" s="738"/>
      <c r="K20" s="738">
        <f t="shared" si="0"/>
        <v>23.03</v>
      </c>
      <c r="L20" s="739">
        <f t="shared" si="2"/>
        <v>589.28</v>
      </c>
    </row>
    <row r="21" spans="1:12" s="740" customFormat="1" ht="27" customHeight="1">
      <c r="A21" s="735">
        <v>12</v>
      </c>
      <c r="B21" s="741" t="s">
        <v>427</v>
      </c>
      <c r="C21" s="738">
        <v>39.24</v>
      </c>
      <c r="D21" s="738"/>
      <c r="E21" s="738"/>
      <c r="F21" s="738"/>
      <c r="G21" s="737">
        <f t="shared" si="1"/>
        <v>0</v>
      </c>
      <c r="H21" s="738">
        <v>22.343</v>
      </c>
      <c r="I21" s="738"/>
      <c r="J21" s="738">
        <v>30.92</v>
      </c>
      <c r="K21" s="738">
        <f>H21-J21</f>
        <v>-8.577000000000002</v>
      </c>
      <c r="L21" s="739">
        <f t="shared" si="2"/>
        <v>30.662999999999997</v>
      </c>
    </row>
    <row r="22" spans="1:12" s="740" customFormat="1" ht="27" customHeight="1">
      <c r="A22" s="735">
        <v>13</v>
      </c>
      <c r="B22" s="751" t="s">
        <v>531</v>
      </c>
      <c r="C22" s="752">
        <v>81.4</v>
      </c>
      <c r="D22" s="752"/>
      <c r="E22" s="752"/>
      <c r="F22" s="752"/>
      <c r="G22" s="737"/>
      <c r="H22" s="752">
        <v>42.852</v>
      </c>
      <c r="I22" s="752"/>
      <c r="J22" s="752">
        <v>36.92</v>
      </c>
      <c r="K22" s="738">
        <f>H22-J22</f>
        <v>5.931999999999995</v>
      </c>
      <c r="L22" s="739">
        <f t="shared" si="2"/>
        <v>87.33200000000001</v>
      </c>
    </row>
    <row r="23" spans="1:12" s="749" customFormat="1" ht="21.75" customHeight="1">
      <c r="A23" s="735">
        <v>14</v>
      </c>
      <c r="B23" s="751" t="s">
        <v>440</v>
      </c>
      <c r="C23" s="752">
        <v>18.63</v>
      </c>
      <c r="D23" s="752"/>
      <c r="E23" s="752"/>
      <c r="F23" s="752"/>
      <c r="G23" s="737">
        <f t="shared" si="1"/>
        <v>0</v>
      </c>
      <c r="H23" s="752"/>
      <c r="I23" s="752">
        <v>0</v>
      </c>
      <c r="J23" s="752"/>
      <c r="K23" s="738">
        <f>H23-J23</f>
        <v>0</v>
      </c>
      <c r="L23" s="739">
        <f t="shared" si="2"/>
        <v>18.63</v>
      </c>
    </row>
    <row r="24" spans="1:12" s="749" customFormat="1" ht="21.75" customHeight="1">
      <c r="A24" s="735">
        <v>15</v>
      </c>
      <c r="B24" s="751" t="s">
        <v>626</v>
      </c>
      <c r="C24" s="752">
        <v>103.23</v>
      </c>
      <c r="D24" s="752"/>
      <c r="E24" s="752"/>
      <c r="F24" s="752"/>
      <c r="G24" s="753">
        <f t="shared" si="1"/>
        <v>0</v>
      </c>
      <c r="H24" s="752">
        <v>155.105</v>
      </c>
      <c r="I24" s="752">
        <v>0</v>
      </c>
      <c r="J24" s="752">
        <v>108.222</v>
      </c>
      <c r="K24" s="752">
        <f>H24-J24</f>
        <v>46.882999999999996</v>
      </c>
      <c r="L24" s="754">
        <f t="shared" si="2"/>
        <v>150.113</v>
      </c>
    </row>
    <row r="25" spans="1:14" s="359" customFormat="1" ht="12.75">
      <c r="A25" s="360"/>
      <c r="B25" s="361" t="s">
        <v>304</v>
      </c>
      <c r="C25" s="755">
        <f>SUM(C10:C23)</f>
        <v>2883.71</v>
      </c>
      <c r="D25" s="755">
        <f aca="true" t="shared" si="3" ref="D25:L25">SUM(D10:D23)</f>
        <v>0</v>
      </c>
      <c r="E25" s="755">
        <f t="shared" si="3"/>
        <v>0</v>
      </c>
      <c r="F25" s="755">
        <f t="shared" si="3"/>
        <v>0</v>
      </c>
      <c r="G25" s="755">
        <f t="shared" si="3"/>
        <v>0</v>
      </c>
      <c r="H25" s="755">
        <f t="shared" si="3"/>
        <v>1700.1480000000001</v>
      </c>
      <c r="I25" s="755">
        <f t="shared" si="3"/>
        <v>50</v>
      </c>
      <c r="J25" s="755">
        <f t="shared" si="3"/>
        <v>1910.045</v>
      </c>
      <c r="K25" s="755">
        <f t="shared" si="3"/>
        <v>-209.89699999999996</v>
      </c>
      <c r="L25" s="756">
        <f t="shared" si="3"/>
        <v>2673.813</v>
      </c>
      <c r="M25" s="362"/>
      <c r="N25" s="362"/>
    </row>
  </sheetData>
  <sheetProtection/>
  <mergeCells count="14">
    <mergeCell ref="G7:G8"/>
    <mergeCell ref="H7:I7"/>
    <mergeCell ref="J7:J8"/>
    <mergeCell ref="K7:K8"/>
    <mergeCell ref="A6:A8"/>
    <mergeCell ref="B6:B8"/>
    <mergeCell ref="C6:C8"/>
    <mergeCell ref="D6:G6"/>
    <mergeCell ref="A3:L3"/>
    <mergeCell ref="A4:L4"/>
    <mergeCell ref="H6:K6"/>
    <mergeCell ref="L6:L8"/>
    <mergeCell ref="D7:E7"/>
    <mergeCell ref="F7:F8"/>
  </mergeCells>
  <printOptions horizontalCentered="1"/>
  <pageMargins left="0.1968503937007874" right="0.1968503937007874" top="0.7874015748031497" bottom="0.1968503937007874" header="0.1968503937007874" footer="0.196850393700787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K57"/>
  <sheetViews>
    <sheetView zoomScalePageLayoutView="0" workbookViewId="0" topLeftCell="A1">
      <selection activeCell="D10" sqref="D10"/>
    </sheetView>
  </sheetViews>
  <sheetFormatPr defaultColWidth="9.140625" defaultRowHeight="12.75"/>
  <cols>
    <col min="1" max="1" width="5.8515625" style="2" customWidth="1"/>
    <col min="2" max="2" width="42.57421875" style="2" customWidth="1"/>
    <col min="3" max="3" width="19.57421875" style="2" customWidth="1"/>
    <col min="4" max="4" width="21.7109375" style="2" customWidth="1"/>
    <col min="5" max="5" width="20.00390625" style="2" customWidth="1"/>
    <col min="6" max="7" width="15.7109375" style="210" customWidth="1"/>
    <col min="8" max="8" width="14.140625" style="213" customWidth="1"/>
    <col min="9" max="9" width="14.28125" style="213" customWidth="1"/>
    <col min="10" max="10" width="12.8515625" style="213" customWidth="1"/>
    <col min="11" max="11" width="9.140625" style="214" customWidth="1"/>
    <col min="12" max="17" width="9.140625" style="2" customWidth="1"/>
    <col min="18" max="16384" width="9.140625" style="2" customWidth="1"/>
  </cols>
  <sheetData>
    <row r="1" spans="5:7" ht="15">
      <c r="E1" s="12" t="s">
        <v>233</v>
      </c>
      <c r="F1" s="209"/>
      <c r="G1" s="209"/>
    </row>
    <row r="2" spans="5:7" ht="15">
      <c r="E2" s="482" t="s">
        <v>625</v>
      </c>
      <c r="F2" s="209"/>
      <c r="G2" s="209"/>
    </row>
    <row r="3" spans="1:7" ht="20.25" customHeight="1">
      <c r="A3" s="828" t="s">
        <v>894</v>
      </c>
      <c r="B3" s="828"/>
      <c r="C3" s="828"/>
      <c r="D3" s="828"/>
      <c r="E3" s="828"/>
      <c r="F3" s="211"/>
      <c r="G3" s="211"/>
    </row>
    <row r="4" spans="1:7" ht="20.25" customHeight="1">
      <c r="A4" s="828" t="s">
        <v>234</v>
      </c>
      <c r="B4" s="828"/>
      <c r="C4" s="828"/>
      <c r="D4" s="828"/>
      <c r="E4" s="828"/>
      <c r="F4" s="211"/>
      <c r="G4" s="211"/>
    </row>
    <row r="5" spans="1:7" ht="18.75" customHeight="1">
      <c r="A5" s="831" t="str">
        <f>'bieu 48 '!A4:F4</f>
        <v>(Kèm theo Báo cáo số 627/BC-UBND ngày 10 tháng 7 năm 2024 của UBND huyện Bắc Sơn)</v>
      </c>
      <c r="B5" s="831"/>
      <c r="C5" s="831"/>
      <c r="D5" s="831"/>
      <c r="E5" s="831"/>
      <c r="F5" s="211"/>
      <c r="G5" s="211"/>
    </row>
    <row r="6" spans="5:7" ht="15">
      <c r="E6" s="28" t="s">
        <v>22</v>
      </c>
      <c r="F6" s="212"/>
      <c r="G6" s="212"/>
    </row>
    <row r="7" spans="1:5" s="72" customFormat="1" ht="45.75" customHeight="1">
      <c r="A7" s="29" t="s">
        <v>23</v>
      </c>
      <c r="B7" s="29" t="s">
        <v>75</v>
      </c>
      <c r="C7" s="29" t="s">
        <v>887</v>
      </c>
      <c r="D7" s="29" t="s">
        <v>888</v>
      </c>
      <c r="E7" s="29" t="s">
        <v>76</v>
      </c>
    </row>
    <row r="8" spans="1:5" s="8" customFormat="1" ht="21.75" customHeight="1">
      <c r="A8" s="30" t="s">
        <v>30</v>
      </c>
      <c r="B8" s="30" t="s">
        <v>31</v>
      </c>
      <c r="C8" s="30">
        <v>1</v>
      </c>
      <c r="D8" s="30">
        <v>2</v>
      </c>
      <c r="E8" s="30" t="s">
        <v>105</v>
      </c>
    </row>
    <row r="9" spans="1:5" s="27" customFormat="1" ht="27" customHeight="1">
      <c r="A9" s="757"/>
      <c r="B9" s="757" t="s">
        <v>334</v>
      </c>
      <c r="C9" s="758">
        <f>C10+C49+C54+C55</f>
        <v>54423.83</v>
      </c>
      <c r="D9" s="758">
        <f>D10+D49+D54+D55+D56</f>
        <v>51006.52270000001</v>
      </c>
      <c r="E9" s="759">
        <f>D9/C9</f>
        <v>0.9372093566366059</v>
      </c>
    </row>
    <row r="10" spans="1:5" s="21" customFormat="1" ht="35.25" customHeight="1">
      <c r="A10" s="760">
        <v>1</v>
      </c>
      <c r="B10" s="761" t="s">
        <v>500</v>
      </c>
      <c r="C10" s="762">
        <f>C11+C30</f>
        <v>2627</v>
      </c>
      <c r="D10" s="762">
        <f>D11+D30</f>
        <v>4413.5287</v>
      </c>
      <c r="E10" s="759">
        <f>D10/C10</f>
        <v>1.6800642177388656</v>
      </c>
    </row>
    <row r="11" spans="1:5" s="21" customFormat="1" ht="26.25" customHeight="1">
      <c r="A11" s="763"/>
      <c r="B11" s="764" t="s">
        <v>305</v>
      </c>
      <c r="C11" s="765">
        <f>SUM(C12:C29)</f>
        <v>1666</v>
      </c>
      <c r="D11" s="765">
        <f>SUM(D12:D29)</f>
        <v>2298.8732</v>
      </c>
      <c r="E11" s="759">
        <f>D11/C11</f>
        <v>1.3798758703481393</v>
      </c>
    </row>
    <row r="12" spans="1:5" s="335" customFormat="1" ht="26.25" customHeight="1">
      <c r="A12" s="766">
        <v>1</v>
      </c>
      <c r="B12" s="767" t="s">
        <v>306</v>
      </c>
      <c r="C12" s="768">
        <v>429</v>
      </c>
      <c r="D12" s="769">
        <v>453.88</v>
      </c>
      <c r="E12" s="770">
        <f>D12/C12</f>
        <v>1.057995337995338</v>
      </c>
    </row>
    <row r="13" spans="1:5" s="335" customFormat="1" ht="26.25" customHeight="1">
      <c r="A13" s="766">
        <v>2</v>
      </c>
      <c r="B13" s="767" t="s">
        <v>307</v>
      </c>
      <c r="C13" s="768">
        <v>95</v>
      </c>
      <c r="D13" s="769">
        <v>128.988</v>
      </c>
      <c r="E13" s="770">
        <f aca="true" t="shared" si="0" ref="E13:E48">D13/C13</f>
        <v>1.3577684210526315</v>
      </c>
    </row>
    <row r="14" spans="1:5" s="335" customFormat="1" ht="26.25" customHeight="1">
      <c r="A14" s="766">
        <v>3</v>
      </c>
      <c r="B14" s="767" t="s">
        <v>308</v>
      </c>
      <c r="C14" s="768">
        <v>111</v>
      </c>
      <c r="D14" s="771">
        <v>126.926</v>
      </c>
      <c r="E14" s="770">
        <f t="shared" si="0"/>
        <v>1.1434774774774774</v>
      </c>
    </row>
    <row r="15" spans="1:5" s="335" customFormat="1" ht="26.25" customHeight="1">
      <c r="A15" s="766">
        <v>4</v>
      </c>
      <c r="B15" s="767" t="s">
        <v>309</v>
      </c>
      <c r="C15" s="768">
        <v>117</v>
      </c>
      <c r="D15" s="771">
        <v>133.798</v>
      </c>
      <c r="E15" s="770">
        <f t="shared" si="0"/>
        <v>1.1435726495726495</v>
      </c>
    </row>
    <row r="16" spans="1:5" s="335" customFormat="1" ht="26.25" customHeight="1">
      <c r="A16" s="766">
        <v>5</v>
      </c>
      <c r="B16" s="767" t="s">
        <v>310</v>
      </c>
      <c r="C16" s="768">
        <v>48</v>
      </c>
      <c r="D16" s="771">
        <v>133.71120000000002</v>
      </c>
      <c r="E16" s="770">
        <f t="shared" si="0"/>
        <v>2.7856500000000004</v>
      </c>
    </row>
    <row r="17" spans="1:5" s="335" customFormat="1" ht="26.25" customHeight="1">
      <c r="A17" s="766">
        <v>6</v>
      </c>
      <c r="B17" s="767" t="s">
        <v>482</v>
      </c>
      <c r="C17" s="768">
        <v>87</v>
      </c>
      <c r="D17" s="771">
        <v>96.056</v>
      </c>
      <c r="E17" s="770">
        <f t="shared" si="0"/>
        <v>1.1040919540229885</v>
      </c>
    </row>
    <row r="18" spans="1:5" s="335" customFormat="1" ht="26.25" customHeight="1">
      <c r="A18" s="766">
        <v>7</v>
      </c>
      <c r="B18" s="767" t="s">
        <v>311</v>
      </c>
      <c r="C18" s="768">
        <v>54</v>
      </c>
      <c r="D18" s="771">
        <v>146.574</v>
      </c>
      <c r="E18" s="770">
        <f t="shared" si="0"/>
        <v>2.7143333333333337</v>
      </c>
    </row>
    <row r="19" spans="1:5" s="335" customFormat="1" ht="26.25" customHeight="1">
      <c r="A19" s="766">
        <v>8</v>
      </c>
      <c r="B19" s="767" t="s">
        <v>312</v>
      </c>
      <c r="C19" s="768">
        <v>75</v>
      </c>
      <c r="D19" s="771">
        <v>117.63000000000001</v>
      </c>
      <c r="E19" s="770">
        <f t="shared" si="0"/>
        <v>1.5684000000000002</v>
      </c>
    </row>
    <row r="20" spans="1:5" s="335" customFormat="1" ht="26.25" customHeight="1">
      <c r="A20" s="766">
        <v>9</v>
      </c>
      <c r="B20" s="772" t="s">
        <v>313</v>
      </c>
      <c r="C20" s="768">
        <v>52</v>
      </c>
      <c r="D20" s="771">
        <v>172.21400000000003</v>
      </c>
      <c r="E20" s="770">
        <f t="shared" si="0"/>
        <v>3.311807692307693</v>
      </c>
    </row>
    <row r="21" spans="1:5" s="335" customFormat="1" ht="26.25" customHeight="1">
      <c r="A21" s="766">
        <v>10</v>
      </c>
      <c r="B21" s="772" t="s">
        <v>314</v>
      </c>
      <c r="C21" s="768">
        <v>19</v>
      </c>
      <c r="D21" s="771">
        <v>55.1</v>
      </c>
      <c r="E21" s="770">
        <f t="shared" si="0"/>
        <v>2.9</v>
      </c>
    </row>
    <row r="22" spans="1:5" s="335" customFormat="1" ht="26.25" customHeight="1">
      <c r="A22" s="766">
        <v>11</v>
      </c>
      <c r="B22" s="772" t="s">
        <v>315</v>
      </c>
      <c r="C22" s="768">
        <v>112</v>
      </c>
      <c r="D22" s="771">
        <v>127.258</v>
      </c>
      <c r="E22" s="770">
        <f t="shared" si="0"/>
        <v>1.136232142857143</v>
      </c>
    </row>
    <row r="23" spans="1:5" s="335" customFormat="1" ht="26.25" customHeight="1">
      <c r="A23" s="766">
        <v>12</v>
      </c>
      <c r="B23" s="772" t="s">
        <v>316</v>
      </c>
      <c r="C23" s="768">
        <v>113</v>
      </c>
      <c r="D23" s="771">
        <v>127.74000000000001</v>
      </c>
      <c r="E23" s="770">
        <f t="shared" si="0"/>
        <v>1.1304424778761062</v>
      </c>
    </row>
    <row r="24" spans="1:5" s="335" customFormat="1" ht="26.25" customHeight="1">
      <c r="A24" s="766">
        <v>13</v>
      </c>
      <c r="B24" s="772" t="s">
        <v>483</v>
      </c>
      <c r="C24" s="768">
        <v>79</v>
      </c>
      <c r="D24" s="771">
        <v>89.076</v>
      </c>
      <c r="E24" s="770">
        <f t="shared" si="0"/>
        <v>1.1275443037974682</v>
      </c>
    </row>
    <row r="25" spans="1:5" s="335" customFormat="1" ht="26.25" customHeight="1">
      <c r="A25" s="766">
        <v>14</v>
      </c>
      <c r="B25" s="767" t="s">
        <v>317</v>
      </c>
      <c r="C25" s="768">
        <v>66</v>
      </c>
      <c r="D25" s="771">
        <v>85.558</v>
      </c>
      <c r="E25" s="770">
        <f t="shared" si="0"/>
        <v>1.2963333333333333</v>
      </c>
    </row>
    <row r="26" spans="1:5" s="335" customFormat="1" ht="26.25" customHeight="1">
      <c r="A26" s="766">
        <v>15</v>
      </c>
      <c r="B26" s="767" t="s">
        <v>318</v>
      </c>
      <c r="C26" s="768">
        <v>33</v>
      </c>
      <c r="D26" s="771">
        <v>72.018</v>
      </c>
      <c r="E26" s="770">
        <f t="shared" si="0"/>
        <v>2.1823636363636365</v>
      </c>
    </row>
    <row r="27" spans="1:5" s="335" customFormat="1" ht="26.25" customHeight="1">
      <c r="A27" s="766">
        <v>16</v>
      </c>
      <c r="B27" s="767" t="s">
        <v>319</v>
      </c>
      <c r="C27" s="768">
        <v>39</v>
      </c>
      <c r="D27" s="771">
        <v>53.177</v>
      </c>
      <c r="E27" s="770">
        <f t="shared" si="0"/>
        <v>1.3635128205128204</v>
      </c>
    </row>
    <row r="28" spans="1:5" s="335" customFormat="1" ht="26.25" customHeight="1">
      <c r="A28" s="766">
        <v>17</v>
      </c>
      <c r="B28" s="767" t="s">
        <v>320</v>
      </c>
      <c r="C28" s="768">
        <v>16</v>
      </c>
      <c r="D28" s="771">
        <v>48.355000000000004</v>
      </c>
      <c r="E28" s="770">
        <f t="shared" si="0"/>
        <v>3.0221875000000002</v>
      </c>
    </row>
    <row r="29" spans="1:5" s="335" customFormat="1" ht="26.25" customHeight="1">
      <c r="A29" s="766">
        <v>18</v>
      </c>
      <c r="B29" s="767" t="s">
        <v>497</v>
      </c>
      <c r="C29" s="768">
        <v>121</v>
      </c>
      <c r="D29" s="771">
        <v>130.814</v>
      </c>
      <c r="E29" s="770">
        <f t="shared" si="0"/>
        <v>1.0811074380165289</v>
      </c>
    </row>
    <row r="30" spans="1:5" s="335" customFormat="1" ht="26.25" customHeight="1">
      <c r="A30" s="766"/>
      <c r="B30" s="773" t="s">
        <v>484</v>
      </c>
      <c r="C30" s="765">
        <f>SUM(C31:C48)</f>
        <v>961</v>
      </c>
      <c r="D30" s="765">
        <f>SUM(D31:D48)</f>
        <v>2114.6555</v>
      </c>
      <c r="E30" s="759">
        <f t="shared" si="0"/>
        <v>2.2004739854318416</v>
      </c>
    </row>
    <row r="31" spans="1:5" s="335" customFormat="1" ht="26.25" customHeight="1">
      <c r="A31" s="766">
        <v>1</v>
      </c>
      <c r="B31" s="774" t="s">
        <v>321</v>
      </c>
      <c r="C31" s="768">
        <v>291</v>
      </c>
      <c r="D31" s="771">
        <v>446.55000000000007</v>
      </c>
      <c r="E31" s="770">
        <f t="shared" si="0"/>
        <v>1.5345360824742271</v>
      </c>
    </row>
    <row r="32" spans="1:5" s="26" customFormat="1" ht="26.25" customHeight="1">
      <c r="A32" s="766">
        <v>2</v>
      </c>
      <c r="B32" s="774" t="s">
        <v>322</v>
      </c>
      <c r="C32" s="768">
        <v>30</v>
      </c>
      <c r="D32" s="771">
        <v>74.994</v>
      </c>
      <c r="E32" s="770">
        <f t="shared" si="0"/>
        <v>2.4998</v>
      </c>
    </row>
    <row r="33" spans="1:5" s="335" customFormat="1" ht="26.25" customHeight="1">
      <c r="A33" s="766">
        <v>3</v>
      </c>
      <c r="B33" s="774" t="s">
        <v>323</v>
      </c>
      <c r="C33" s="768">
        <v>28</v>
      </c>
      <c r="D33" s="771">
        <v>60.847</v>
      </c>
      <c r="E33" s="770">
        <f t="shared" si="0"/>
        <v>2.173107142857143</v>
      </c>
    </row>
    <row r="34" spans="1:5" s="335" customFormat="1" ht="26.25" customHeight="1">
      <c r="A34" s="766">
        <v>4</v>
      </c>
      <c r="B34" s="774" t="s">
        <v>324</v>
      </c>
      <c r="C34" s="768"/>
      <c r="D34" s="771">
        <v>207.079</v>
      </c>
      <c r="E34" s="770"/>
    </row>
    <row r="35" spans="1:5" s="335" customFormat="1" ht="26.25" customHeight="1">
      <c r="A35" s="766">
        <v>5</v>
      </c>
      <c r="B35" s="774" t="s">
        <v>325</v>
      </c>
      <c r="C35" s="768"/>
      <c r="D35" s="771">
        <v>113.641</v>
      </c>
      <c r="E35" s="770"/>
    </row>
    <row r="36" spans="1:5" s="335" customFormat="1" ht="26.25" customHeight="1">
      <c r="A36" s="766">
        <v>6</v>
      </c>
      <c r="B36" s="774" t="s">
        <v>326</v>
      </c>
      <c r="C36" s="768">
        <v>120</v>
      </c>
      <c r="D36" s="771">
        <v>161.459</v>
      </c>
      <c r="E36" s="770">
        <f t="shared" si="0"/>
        <v>1.3454916666666668</v>
      </c>
    </row>
    <row r="37" spans="1:5" s="335" customFormat="1" ht="26.25" customHeight="1">
      <c r="A37" s="766">
        <v>7</v>
      </c>
      <c r="B37" s="774" t="s">
        <v>327</v>
      </c>
      <c r="C37" s="768">
        <v>101</v>
      </c>
      <c r="D37" s="771">
        <v>141.619</v>
      </c>
      <c r="E37" s="770">
        <f t="shared" si="0"/>
        <v>1.4021683168316832</v>
      </c>
    </row>
    <row r="38" spans="1:5" s="335" customFormat="1" ht="26.25" customHeight="1">
      <c r="A38" s="766">
        <v>8</v>
      </c>
      <c r="B38" s="774" t="s">
        <v>328</v>
      </c>
      <c r="C38" s="768">
        <v>72</v>
      </c>
      <c r="D38" s="771">
        <v>132.117</v>
      </c>
      <c r="E38" s="770">
        <f t="shared" si="0"/>
        <v>1.8349583333333332</v>
      </c>
    </row>
    <row r="39" spans="1:5" s="335" customFormat="1" ht="26.25" customHeight="1">
      <c r="A39" s="766">
        <v>9</v>
      </c>
      <c r="B39" s="774" t="s">
        <v>726</v>
      </c>
      <c r="C39" s="768"/>
      <c r="D39" s="771">
        <v>56.983000000000004</v>
      </c>
      <c r="E39" s="770"/>
    </row>
    <row r="40" spans="1:5" s="335" customFormat="1" ht="26.25" customHeight="1">
      <c r="A40" s="766">
        <v>10</v>
      </c>
      <c r="B40" s="774" t="s">
        <v>330</v>
      </c>
      <c r="C40" s="768">
        <v>62</v>
      </c>
      <c r="D40" s="771">
        <v>85.083</v>
      </c>
      <c r="E40" s="770">
        <f t="shared" si="0"/>
        <v>1.372306451612903</v>
      </c>
    </row>
    <row r="41" spans="1:5" s="335" customFormat="1" ht="26.25" customHeight="1">
      <c r="A41" s="766">
        <v>11</v>
      </c>
      <c r="B41" s="774" t="s">
        <v>331</v>
      </c>
      <c r="C41" s="768"/>
      <c r="D41" s="771">
        <v>126.5</v>
      </c>
      <c r="E41" s="770"/>
    </row>
    <row r="42" spans="1:5" s="335" customFormat="1" ht="26.25" customHeight="1">
      <c r="A42" s="766">
        <v>12</v>
      </c>
      <c r="B42" s="774" t="s">
        <v>332</v>
      </c>
      <c r="C42" s="768">
        <v>70</v>
      </c>
      <c r="D42" s="771">
        <v>97.349</v>
      </c>
      <c r="E42" s="770">
        <f t="shared" si="0"/>
        <v>1.3907</v>
      </c>
    </row>
    <row r="43" spans="1:5" s="335" customFormat="1" ht="26.25" customHeight="1">
      <c r="A43" s="766">
        <v>13</v>
      </c>
      <c r="B43" s="774" t="s">
        <v>293</v>
      </c>
      <c r="C43" s="768">
        <v>39</v>
      </c>
      <c r="D43" s="771">
        <v>76.369</v>
      </c>
      <c r="E43" s="770">
        <f t="shared" si="0"/>
        <v>1.958179487179487</v>
      </c>
    </row>
    <row r="44" spans="1:5" s="335" customFormat="1" ht="26.25" customHeight="1">
      <c r="A44" s="766">
        <v>14</v>
      </c>
      <c r="B44" s="774" t="s">
        <v>485</v>
      </c>
      <c r="C44" s="768"/>
      <c r="D44" s="771">
        <v>61.894999999999996</v>
      </c>
      <c r="E44" s="770"/>
    </row>
    <row r="45" spans="1:5" s="335" customFormat="1" ht="26.25" customHeight="1">
      <c r="A45" s="766">
        <v>15</v>
      </c>
      <c r="B45" s="774" t="s">
        <v>333</v>
      </c>
      <c r="C45" s="768">
        <v>35</v>
      </c>
      <c r="D45" s="771">
        <v>84.191</v>
      </c>
      <c r="E45" s="770">
        <f t="shared" si="0"/>
        <v>2.4054571428571427</v>
      </c>
    </row>
    <row r="46" spans="1:5" s="335" customFormat="1" ht="24.75" customHeight="1">
      <c r="A46" s="766">
        <v>16</v>
      </c>
      <c r="B46" s="775" t="s">
        <v>486</v>
      </c>
      <c r="C46" s="768"/>
      <c r="D46" s="771">
        <v>44.255</v>
      </c>
      <c r="E46" s="770"/>
    </row>
    <row r="47" spans="1:5" s="335" customFormat="1" ht="26.25" customHeight="1">
      <c r="A47" s="766">
        <v>17</v>
      </c>
      <c r="B47" s="774" t="s">
        <v>498</v>
      </c>
      <c r="C47" s="768">
        <v>44</v>
      </c>
      <c r="D47" s="771">
        <v>56.7095</v>
      </c>
      <c r="E47" s="770">
        <f t="shared" si="0"/>
        <v>1.2888522727272727</v>
      </c>
    </row>
    <row r="48" spans="1:5" s="335" customFormat="1" ht="26.25" customHeight="1">
      <c r="A48" s="766">
        <v>18</v>
      </c>
      <c r="B48" s="774" t="s">
        <v>499</v>
      </c>
      <c r="C48" s="768">
        <v>69</v>
      </c>
      <c r="D48" s="771">
        <v>87.015</v>
      </c>
      <c r="E48" s="770">
        <f t="shared" si="0"/>
        <v>1.261086956521739</v>
      </c>
    </row>
    <row r="49" spans="1:5" s="31" customFormat="1" ht="29.25" customHeight="1">
      <c r="A49" s="776">
        <v>2</v>
      </c>
      <c r="B49" s="777" t="s">
        <v>433</v>
      </c>
      <c r="C49" s="778">
        <f>C50+C51</f>
        <v>94</v>
      </c>
      <c r="D49" s="779">
        <v>205.29</v>
      </c>
      <c r="E49" s="780">
        <f>D49/C49</f>
        <v>2.1839361702127658</v>
      </c>
    </row>
    <row r="50" spans="1:5" s="31" customFormat="1" ht="26.25" customHeight="1">
      <c r="A50" s="781" t="s">
        <v>37</v>
      </c>
      <c r="B50" s="782" t="s">
        <v>434</v>
      </c>
      <c r="C50" s="783">
        <v>94</v>
      </c>
      <c r="D50" s="783"/>
      <c r="E50" s="784"/>
    </row>
    <row r="51" spans="1:5" s="31" customFormat="1" ht="26.25" customHeight="1">
      <c r="A51" s="781" t="s">
        <v>37</v>
      </c>
      <c r="B51" s="782" t="s">
        <v>435</v>
      </c>
      <c r="C51" s="783"/>
      <c r="D51" s="783"/>
      <c r="E51" s="784"/>
    </row>
    <row r="52" spans="1:5" s="31" customFormat="1" ht="26.25" customHeight="1">
      <c r="A52" s="781"/>
      <c r="B52" s="782" t="s">
        <v>436</v>
      </c>
      <c r="C52" s="783"/>
      <c r="D52" s="783"/>
      <c r="E52" s="784"/>
    </row>
    <row r="53" spans="1:5" s="31" customFormat="1" ht="26.25" customHeight="1">
      <c r="A53" s="781"/>
      <c r="B53" s="782" t="s">
        <v>437</v>
      </c>
      <c r="C53" s="783"/>
      <c r="D53" s="783"/>
      <c r="E53" s="784"/>
    </row>
    <row r="54" spans="1:5" s="130" customFormat="1" ht="26.25" customHeight="1">
      <c r="A54" s="776">
        <v>3</v>
      </c>
      <c r="B54" s="777" t="s">
        <v>438</v>
      </c>
      <c r="C54" s="778">
        <v>51552.83</v>
      </c>
      <c r="D54" s="778">
        <v>45961.754</v>
      </c>
      <c r="E54" s="780">
        <f>D54/C54</f>
        <v>0.8915466716376191</v>
      </c>
    </row>
    <row r="55" spans="1:5" s="31" customFormat="1" ht="26.25" customHeight="1">
      <c r="A55" s="776">
        <v>4</v>
      </c>
      <c r="B55" s="777" t="s">
        <v>439</v>
      </c>
      <c r="C55" s="778">
        <v>150</v>
      </c>
      <c r="D55" s="778">
        <v>164.874</v>
      </c>
      <c r="E55" s="780">
        <f>D55/C55</f>
        <v>1.09916</v>
      </c>
    </row>
    <row r="56" spans="1:11" ht="22.5" customHeight="1">
      <c r="A56" s="785">
        <v>5</v>
      </c>
      <c r="B56" s="786" t="s">
        <v>893</v>
      </c>
      <c r="C56" s="787"/>
      <c r="D56" s="788">
        <v>261.076</v>
      </c>
      <c r="E56" s="789"/>
      <c r="F56" s="2"/>
      <c r="G56" s="2"/>
      <c r="H56" s="2"/>
      <c r="I56" s="2"/>
      <c r="J56" s="2"/>
      <c r="K56" s="2"/>
    </row>
    <row r="57" spans="2:11" s="364" customFormat="1" ht="15">
      <c r="B57" s="364" t="s">
        <v>627</v>
      </c>
      <c r="F57" s="365"/>
      <c r="G57" s="365"/>
      <c r="H57" s="366"/>
      <c r="I57" s="366"/>
      <c r="J57" s="366"/>
      <c r="K57" s="367"/>
    </row>
  </sheetData>
  <sheetProtection/>
  <mergeCells count="3">
    <mergeCell ref="A3:E3"/>
    <mergeCell ref="A4:E4"/>
    <mergeCell ref="A5:E5"/>
  </mergeCells>
  <printOptions horizontalCentered="1"/>
  <pageMargins left="0.7874015748031497" right="0" top="0.3937007874015748" bottom="0.1968503937007874"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H47"/>
  <sheetViews>
    <sheetView zoomScalePageLayoutView="0" workbookViewId="0" topLeftCell="A1">
      <selection activeCell="B12" sqref="B12"/>
    </sheetView>
  </sheetViews>
  <sheetFormatPr defaultColWidth="9.140625" defaultRowHeight="12.75"/>
  <cols>
    <col min="1" max="1" width="4.7109375" style="8" customWidth="1"/>
    <col min="2" max="2" width="43.28125" style="8" customWidth="1"/>
    <col min="3" max="3" width="12.00390625" style="8" customWidth="1"/>
    <col min="4" max="4" width="14.140625" style="8" customWidth="1"/>
    <col min="5" max="5" width="12.00390625" style="8" customWidth="1"/>
    <col min="6" max="6" width="12.00390625" style="92" hidden="1" customWidth="1"/>
    <col min="7" max="7" width="11.28125" style="8" hidden="1" customWidth="1"/>
    <col min="8" max="8" width="11.28125" style="8" bestFit="1" customWidth="1"/>
    <col min="9" max="16384" width="9.140625" style="8" customWidth="1"/>
  </cols>
  <sheetData>
    <row r="1" spans="3:5" ht="15">
      <c r="C1" s="808" t="s">
        <v>74</v>
      </c>
      <c r="D1" s="808"/>
      <c r="E1" s="808"/>
    </row>
    <row r="2" spans="3:5" ht="15">
      <c r="C2" s="806" t="s">
        <v>625</v>
      </c>
      <c r="D2" s="806"/>
      <c r="E2" s="806"/>
    </row>
    <row r="3" spans="1:5" ht="35.25" customHeight="1">
      <c r="A3" s="815" t="s">
        <v>896</v>
      </c>
      <c r="B3" s="815"/>
      <c r="C3" s="815"/>
      <c r="D3" s="815"/>
      <c r="E3" s="815"/>
    </row>
    <row r="4" spans="1:5" ht="15">
      <c r="A4" s="809" t="str">
        <f>'bieu 48 '!A4:F4</f>
        <v>(Kèm theo Báo cáo số 627/BC-UBND ngày 10 tháng 7 năm 2024 của UBND huyện Bắc Sơn)</v>
      </c>
      <c r="B4" s="809"/>
      <c r="C4" s="809"/>
      <c r="D4" s="809"/>
      <c r="E4" s="809"/>
    </row>
    <row r="5" ht="15">
      <c r="E5" s="183" t="s">
        <v>22</v>
      </c>
    </row>
    <row r="6" spans="1:6" s="381" customFormat="1" ht="13.5">
      <c r="A6" s="379" t="s">
        <v>23</v>
      </c>
      <c r="B6" s="379" t="s">
        <v>75</v>
      </c>
      <c r="C6" s="379" t="s">
        <v>25</v>
      </c>
      <c r="D6" s="379" t="s">
        <v>26</v>
      </c>
      <c r="E6" s="379" t="s">
        <v>76</v>
      </c>
      <c r="F6" s="380"/>
    </row>
    <row r="7" spans="1:6" s="381" customFormat="1" ht="13.5">
      <c r="A7" s="379" t="s">
        <v>30</v>
      </c>
      <c r="B7" s="379" t="s">
        <v>31</v>
      </c>
      <c r="C7" s="379">
        <v>1</v>
      </c>
      <c r="D7" s="379">
        <v>2</v>
      </c>
      <c r="E7" s="379">
        <v>3</v>
      </c>
      <c r="F7" s="380"/>
    </row>
    <row r="8" spans="1:6" s="381" customFormat="1" ht="22.5" customHeight="1">
      <c r="A8" s="486" t="s">
        <v>30</v>
      </c>
      <c r="B8" s="487" t="s">
        <v>407</v>
      </c>
      <c r="C8" s="488"/>
      <c r="D8" s="489"/>
      <c r="E8" s="490"/>
      <c r="F8" s="380"/>
    </row>
    <row r="9" spans="1:6" s="383" customFormat="1" ht="22.5" customHeight="1">
      <c r="A9" s="491" t="s">
        <v>35</v>
      </c>
      <c r="B9" s="492" t="s">
        <v>77</v>
      </c>
      <c r="C9" s="374">
        <f>C10+C11+C14+C15+C16</f>
        <v>652270</v>
      </c>
      <c r="D9" s="374">
        <v>819234.06</v>
      </c>
      <c r="E9" s="375">
        <f>D9/C9</f>
        <v>1.2559738451868092</v>
      </c>
      <c r="F9" s="382">
        <f>C9-C20</f>
        <v>0</v>
      </c>
    </row>
    <row r="10" spans="1:6" s="381" customFormat="1" ht="22.5" customHeight="1">
      <c r="A10" s="493">
        <v>1</v>
      </c>
      <c r="B10" s="494" t="s">
        <v>78</v>
      </c>
      <c r="C10" s="376">
        <v>27197</v>
      </c>
      <c r="D10" s="376">
        <f>'[3]biểu 60'!$C$8</f>
        <v>37413.282999999996</v>
      </c>
      <c r="E10" s="495">
        <f>D10/C10</f>
        <v>1.3756400705960214</v>
      </c>
      <c r="F10" s="380"/>
    </row>
    <row r="11" spans="1:6" s="381" customFormat="1" ht="22.5" customHeight="1">
      <c r="A11" s="493">
        <v>2</v>
      </c>
      <c r="B11" s="494" t="s">
        <v>79</v>
      </c>
      <c r="C11" s="376">
        <f>C12+C13</f>
        <v>625073</v>
      </c>
      <c r="D11" s="376">
        <f>D12+D13</f>
        <v>713795.252</v>
      </c>
      <c r="E11" s="495">
        <f>D11/C11</f>
        <v>1.1419390247219126</v>
      </c>
      <c r="F11" s="380"/>
    </row>
    <row r="12" spans="1:6" s="381" customFormat="1" ht="22.5" customHeight="1">
      <c r="A12" s="493" t="s">
        <v>37</v>
      </c>
      <c r="B12" s="494" t="s">
        <v>80</v>
      </c>
      <c r="C12" s="376">
        <f>'bieu 48 '!C14</f>
        <v>508905</v>
      </c>
      <c r="D12" s="376">
        <f>'bieu 48 '!D14</f>
        <v>509941.212</v>
      </c>
      <c r="E12" s="495">
        <f>D12/C12</f>
        <v>1.002036159990568</v>
      </c>
      <c r="F12" s="380"/>
    </row>
    <row r="13" spans="1:6" s="381" customFormat="1" ht="22.5" customHeight="1">
      <c r="A13" s="493" t="s">
        <v>37</v>
      </c>
      <c r="B13" s="494" t="s">
        <v>81</v>
      </c>
      <c r="C13" s="376">
        <f>'bieu 48 '!C15</f>
        <v>116168</v>
      </c>
      <c r="D13" s="376">
        <f>'bieu 48 '!D15</f>
        <v>203854.04</v>
      </c>
      <c r="E13" s="495">
        <f>D13/C13</f>
        <v>1.7548209489704567</v>
      </c>
      <c r="F13" s="380"/>
    </row>
    <row r="14" spans="1:6" s="381" customFormat="1" ht="22.5" customHeight="1">
      <c r="A14" s="493">
        <v>3</v>
      </c>
      <c r="B14" s="494" t="s">
        <v>82</v>
      </c>
      <c r="C14" s="376"/>
      <c r="D14" s="376"/>
      <c r="E14" s="375"/>
      <c r="F14" s="380"/>
    </row>
    <row r="15" spans="1:6" s="381" customFormat="1" ht="22.5" customHeight="1">
      <c r="A15" s="493">
        <v>4</v>
      </c>
      <c r="B15" s="494" t="s">
        <v>47</v>
      </c>
      <c r="C15" s="376"/>
      <c r="D15" s="376">
        <f>'[3]biểu 61'!$H$72</f>
        <v>1129.694</v>
      </c>
      <c r="E15" s="375"/>
      <c r="F15" s="380"/>
    </row>
    <row r="16" spans="1:6" s="381" customFormat="1" ht="22.5" customHeight="1">
      <c r="A16" s="493">
        <v>5</v>
      </c>
      <c r="B16" s="494" t="s">
        <v>49</v>
      </c>
      <c r="C16" s="376"/>
      <c r="D16" s="376">
        <f>'[3]biểu 61'!$H$73</f>
        <v>64335.792</v>
      </c>
      <c r="E16" s="375"/>
      <c r="F16" s="380"/>
    </row>
    <row r="17" spans="1:6" s="381" customFormat="1" ht="22.5" customHeight="1">
      <c r="A17" s="493">
        <v>6</v>
      </c>
      <c r="B17" s="494" t="s">
        <v>100</v>
      </c>
      <c r="C17" s="376"/>
      <c r="D17" s="376">
        <f>'[3]biểu 61'!$H$70</f>
        <v>407.2</v>
      </c>
      <c r="E17" s="375"/>
      <c r="F17" s="380"/>
    </row>
    <row r="18" spans="1:6" s="381" customFormat="1" ht="22.5" customHeight="1">
      <c r="A18" s="493">
        <v>7</v>
      </c>
      <c r="B18" s="791" t="s">
        <v>902</v>
      </c>
      <c r="C18" s="376"/>
      <c r="D18" s="376">
        <f>'[3]biểu 61'!$H$71</f>
        <v>1002.829</v>
      </c>
      <c r="E18" s="375"/>
      <c r="F18" s="380"/>
    </row>
    <row r="19" spans="1:6" s="381" customFormat="1" ht="22.5" customHeight="1">
      <c r="A19" s="493">
        <v>8</v>
      </c>
      <c r="B19" s="494" t="s">
        <v>335</v>
      </c>
      <c r="C19" s="376"/>
      <c r="D19" s="376">
        <f>'[3]biểu 61'!$H$91</f>
        <v>1150</v>
      </c>
      <c r="E19" s="375"/>
      <c r="F19" s="380"/>
    </row>
    <row r="20" spans="1:8" s="383" customFormat="1" ht="22.5" customHeight="1">
      <c r="A20" s="491" t="s">
        <v>40</v>
      </c>
      <c r="B20" s="492" t="s">
        <v>83</v>
      </c>
      <c r="C20" s="374">
        <f>C21+C22+C25+C26+C27</f>
        <v>652270</v>
      </c>
      <c r="D20" s="374">
        <f>D21+D22+D25+D26+D27</f>
        <v>817521.673</v>
      </c>
      <c r="E20" s="375">
        <f>D20/C20</f>
        <v>1.2533485719104052</v>
      </c>
      <c r="F20" s="382">
        <v>529258</v>
      </c>
      <c r="G20" s="382">
        <f>F20-C21-C22</f>
        <v>-123011.99999999999</v>
      </c>
      <c r="H20" s="384"/>
    </row>
    <row r="21" spans="1:6" s="381" customFormat="1" ht="22.5" customHeight="1">
      <c r="A21" s="493">
        <v>1</v>
      </c>
      <c r="B21" s="494" t="s">
        <v>411</v>
      </c>
      <c r="C21" s="376">
        <v>543349.24</v>
      </c>
      <c r="D21" s="376">
        <v>619584.8570000001</v>
      </c>
      <c r="E21" s="495">
        <f>D21/C21</f>
        <v>1.140306843900251</v>
      </c>
      <c r="F21" s="380"/>
    </row>
    <row r="22" spans="1:6" s="381" customFormat="1" ht="22.5" customHeight="1">
      <c r="A22" s="493">
        <v>2</v>
      </c>
      <c r="B22" s="494" t="s">
        <v>84</v>
      </c>
      <c r="C22" s="376">
        <f>C23+C24</f>
        <v>108920.76</v>
      </c>
      <c r="D22" s="376">
        <f>D23+D24</f>
        <v>135939.384</v>
      </c>
      <c r="E22" s="495">
        <f>D22/C22</f>
        <v>1.2480576154628373</v>
      </c>
      <c r="F22" s="380"/>
    </row>
    <row r="23" spans="1:6" s="381" customFormat="1" ht="22.5" customHeight="1">
      <c r="A23" s="493" t="s">
        <v>37</v>
      </c>
      <c r="B23" s="494" t="s">
        <v>85</v>
      </c>
      <c r="C23" s="376">
        <f>82298.37</f>
        <v>82298.37</v>
      </c>
      <c r="D23" s="376">
        <f>'[3]biểu 62'!$G$50</f>
        <v>82298.37</v>
      </c>
      <c r="E23" s="495">
        <f>D23/C23</f>
        <v>1</v>
      </c>
      <c r="F23" s="380"/>
    </row>
    <row r="24" spans="1:6" s="381" customFormat="1" ht="22.5" customHeight="1">
      <c r="A24" s="493" t="s">
        <v>37</v>
      </c>
      <c r="B24" s="494" t="s">
        <v>86</v>
      </c>
      <c r="C24" s="376">
        <v>26622.39</v>
      </c>
      <c r="D24" s="376">
        <f>'[3]biểu 62'!$G$51</f>
        <v>53641.014</v>
      </c>
      <c r="E24" s="495">
        <f>D24/C24</f>
        <v>2.01488348717001</v>
      </c>
      <c r="F24" s="380"/>
    </row>
    <row r="25" spans="1:6" s="381" customFormat="1" ht="22.5" customHeight="1">
      <c r="A25" s="493">
        <v>3</v>
      </c>
      <c r="B25" s="494" t="s">
        <v>61</v>
      </c>
      <c r="C25" s="376"/>
      <c r="D25" s="376">
        <f>'[3]biểu 62'!$G$46</f>
        <v>53038.232</v>
      </c>
      <c r="E25" s="375"/>
      <c r="F25" s="380"/>
    </row>
    <row r="26" spans="1:6" s="381" customFormat="1" ht="22.5" customHeight="1">
      <c r="A26" s="493">
        <v>4</v>
      </c>
      <c r="B26" s="494" t="s">
        <v>337</v>
      </c>
      <c r="C26" s="376"/>
      <c r="D26" s="376">
        <f>'[3]biểu 62'!$G$54</f>
        <v>8552</v>
      </c>
      <c r="E26" s="375"/>
      <c r="F26" s="380"/>
    </row>
    <row r="27" spans="1:6" s="381" customFormat="1" ht="22.5" customHeight="1">
      <c r="A27" s="493">
        <v>5</v>
      </c>
      <c r="B27" s="496" t="s">
        <v>722</v>
      </c>
      <c r="C27" s="376"/>
      <c r="D27" s="376">
        <f>'bieu 48 '!D37</f>
        <v>407.2</v>
      </c>
      <c r="E27" s="375"/>
      <c r="F27" s="380"/>
    </row>
    <row r="28" spans="1:6" s="381" customFormat="1" ht="33.75" customHeight="1">
      <c r="A28" s="491" t="s">
        <v>44</v>
      </c>
      <c r="B28" s="492" t="s">
        <v>87</v>
      </c>
      <c r="C28" s="376"/>
      <c r="D28" s="376"/>
      <c r="E28" s="375"/>
      <c r="F28" s="380"/>
    </row>
    <row r="29" spans="1:8" s="381" customFormat="1" ht="22.5" customHeight="1">
      <c r="A29" s="491" t="s">
        <v>46</v>
      </c>
      <c r="B29" s="492" t="s">
        <v>88</v>
      </c>
      <c r="C29" s="374"/>
      <c r="D29" s="374">
        <f>D9-D20</f>
        <v>1712.3870000001043</v>
      </c>
      <c r="E29" s="375"/>
      <c r="F29" s="380"/>
      <c r="H29" s="385"/>
    </row>
    <row r="30" spans="1:6" s="381" customFormat="1" ht="22.5" customHeight="1">
      <c r="A30" s="491" t="s">
        <v>31</v>
      </c>
      <c r="B30" s="492" t="s">
        <v>266</v>
      </c>
      <c r="C30" s="376"/>
      <c r="D30" s="376"/>
      <c r="E30" s="375"/>
      <c r="F30" s="380"/>
    </row>
    <row r="31" spans="1:6" s="383" customFormat="1" ht="22.5" customHeight="1">
      <c r="A31" s="491" t="s">
        <v>35</v>
      </c>
      <c r="B31" s="492" t="s">
        <v>77</v>
      </c>
      <c r="C31" s="374">
        <f>C32+C33+C36+C37</f>
        <v>113733.76</v>
      </c>
      <c r="D31" s="374">
        <f>D32+D33+D36+D37</f>
        <v>166586.278</v>
      </c>
      <c r="E31" s="375">
        <f>D31/C31</f>
        <v>1.464703866292647</v>
      </c>
      <c r="F31" s="382"/>
    </row>
    <row r="32" spans="1:6" s="381" customFormat="1" ht="22.5" customHeight="1">
      <c r="A32" s="493">
        <v>1</v>
      </c>
      <c r="B32" s="494" t="s">
        <v>78</v>
      </c>
      <c r="C32" s="376">
        <v>4813</v>
      </c>
      <c r="D32" s="376">
        <f>'[3]biểu 60'!$D$8</f>
        <v>5582.878000000001</v>
      </c>
      <c r="E32" s="495">
        <f>D32/C32</f>
        <v>1.1599580303345107</v>
      </c>
      <c r="F32" s="380"/>
    </row>
    <row r="33" spans="1:6" s="381" customFormat="1" ht="22.5" customHeight="1">
      <c r="A33" s="493">
        <v>2</v>
      </c>
      <c r="B33" s="494" t="s">
        <v>79</v>
      </c>
      <c r="C33" s="376">
        <f>C34+C35</f>
        <v>108920.76</v>
      </c>
      <c r="D33" s="376">
        <f>D34+D35</f>
        <v>135939.384</v>
      </c>
      <c r="E33" s="495">
        <f>D33/C33</f>
        <v>1.2480576154628373</v>
      </c>
      <c r="F33" s="380"/>
    </row>
    <row r="34" spans="1:6" s="381" customFormat="1" ht="22.5" customHeight="1">
      <c r="A34" s="493" t="s">
        <v>37</v>
      </c>
      <c r="B34" s="494" t="s">
        <v>42</v>
      </c>
      <c r="C34" s="376">
        <f>C23</f>
        <v>82298.37</v>
      </c>
      <c r="D34" s="376">
        <f>'[3]biểu 62'!$G$50</f>
        <v>82298.37</v>
      </c>
      <c r="E34" s="495">
        <f>D34/C34</f>
        <v>1</v>
      </c>
      <c r="F34" s="380"/>
    </row>
    <row r="35" spans="1:6" s="381" customFormat="1" ht="22.5" customHeight="1">
      <c r="A35" s="493" t="s">
        <v>37</v>
      </c>
      <c r="B35" s="494" t="s">
        <v>43</v>
      </c>
      <c r="C35" s="376">
        <f>C24</f>
        <v>26622.39</v>
      </c>
      <c r="D35" s="376">
        <f>'[3]biểu 62'!$G$51</f>
        <v>53641.014</v>
      </c>
      <c r="E35" s="495">
        <f>D35/C35</f>
        <v>2.01488348717001</v>
      </c>
      <c r="F35" s="380"/>
    </row>
    <row r="36" spans="1:6" s="381" customFormat="1" ht="22.5" customHeight="1">
      <c r="A36" s="493">
        <v>3</v>
      </c>
      <c r="B36" s="494" t="s">
        <v>47</v>
      </c>
      <c r="C36" s="376"/>
      <c r="D36" s="376">
        <f>'[3]biểu 60'!$D$11</f>
        <v>308.183</v>
      </c>
      <c r="E36" s="375"/>
      <c r="F36" s="380"/>
    </row>
    <row r="37" spans="1:6" s="381" customFormat="1" ht="22.5" customHeight="1">
      <c r="A37" s="493">
        <v>4</v>
      </c>
      <c r="B37" s="494" t="s">
        <v>49</v>
      </c>
      <c r="C37" s="376"/>
      <c r="D37" s="376">
        <f>'[3]biểu 60'!$D$12</f>
        <v>24755.833</v>
      </c>
      <c r="E37" s="375"/>
      <c r="F37" s="380"/>
    </row>
    <row r="38" spans="1:7" s="383" customFormat="1" ht="22.5" customHeight="1">
      <c r="A38" s="491" t="s">
        <v>40</v>
      </c>
      <c r="B38" s="492" t="s">
        <v>83</v>
      </c>
      <c r="C38" s="374">
        <f>C39+C40+C43</f>
        <v>113733.76</v>
      </c>
      <c r="D38" s="374">
        <f>D39+D40+D43+D44</f>
        <v>166484.337</v>
      </c>
      <c r="E38" s="375">
        <f>D38/C38</f>
        <v>1.4638075537114046</v>
      </c>
      <c r="F38" s="382"/>
      <c r="G38" s="384"/>
    </row>
    <row r="39" spans="1:6" s="381" customFormat="1" ht="22.5" customHeight="1">
      <c r="A39" s="493">
        <v>1</v>
      </c>
      <c r="B39" s="494" t="s">
        <v>410</v>
      </c>
      <c r="C39" s="376">
        <v>113733.76</v>
      </c>
      <c r="D39" s="376">
        <v>131591.046</v>
      </c>
      <c r="E39" s="495">
        <f>D39/C39</f>
        <v>1.1570095458024074</v>
      </c>
      <c r="F39" s="380"/>
    </row>
    <row r="40" spans="1:6" s="381" customFormat="1" ht="22.5" customHeight="1">
      <c r="A40" s="493">
        <v>2</v>
      </c>
      <c r="B40" s="494" t="s">
        <v>89</v>
      </c>
      <c r="C40" s="376"/>
      <c r="D40" s="376"/>
      <c r="E40" s="375"/>
      <c r="F40" s="380"/>
    </row>
    <row r="41" spans="1:6" s="381" customFormat="1" ht="22.5" customHeight="1">
      <c r="A41" s="493" t="s">
        <v>37</v>
      </c>
      <c r="B41" s="494" t="s">
        <v>85</v>
      </c>
      <c r="C41" s="376"/>
      <c r="D41" s="376"/>
      <c r="E41" s="375"/>
      <c r="F41" s="380"/>
    </row>
    <row r="42" spans="1:6" s="381" customFormat="1" ht="22.5" customHeight="1">
      <c r="A42" s="493" t="s">
        <v>37</v>
      </c>
      <c r="B42" s="494" t="s">
        <v>86</v>
      </c>
      <c r="C42" s="376"/>
      <c r="D42" s="376"/>
      <c r="E42" s="375"/>
      <c r="F42" s="380"/>
    </row>
    <row r="43" spans="1:6" s="381" customFormat="1" ht="22.5" customHeight="1">
      <c r="A43" s="493">
        <v>3</v>
      </c>
      <c r="B43" s="494" t="s">
        <v>61</v>
      </c>
      <c r="C43" s="376">
        <v>0</v>
      </c>
      <c r="D43" s="376">
        <f>'[3]biểu 62'!$H$46</f>
        <v>33743.291</v>
      </c>
      <c r="E43" s="375"/>
      <c r="F43" s="380"/>
    </row>
    <row r="44" spans="1:6" s="381" customFormat="1" ht="22.5" customHeight="1">
      <c r="A44" s="493">
        <v>4</v>
      </c>
      <c r="B44" s="494" t="s">
        <v>337</v>
      </c>
      <c r="C44" s="376"/>
      <c r="D44" s="376">
        <f>'[3]biểu 62'!$H$54</f>
        <v>1150</v>
      </c>
      <c r="E44" s="375"/>
      <c r="F44" s="380"/>
    </row>
    <row r="45" spans="1:6" s="381" customFormat="1" ht="22.5" customHeight="1">
      <c r="A45" s="497" t="s">
        <v>44</v>
      </c>
      <c r="B45" s="498" t="s">
        <v>90</v>
      </c>
      <c r="C45" s="499">
        <f>C31-C38</f>
        <v>0</v>
      </c>
      <c r="D45" s="499">
        <f>D31-D38</f>
        <v>101.94099999999162</v>
      </c>
      <c r="E45" s="500"/>
      <c r="F45" s="385"/>
    </row>
    <row r="46" ht="15">
      <c r="A46" s="192"/>
    </row>
    <row r="47" ht="15">
      <c r="A47" s="193"/>
    </row>
  </sheetData>
  <sheetProtection/>
  <mergeCells count="4">
    <mergeCell ref="A3:E3"/>
    <mergeCell ref="A4:E4"/>
    <mergeCell ref="C2:E2"/>
    <mergeCell ref="C1:E1"/>
  </mergeCells>
  <printOptions horizontalCentered="1"/>
  <pageMargins left="0.7480314960629921" right="0.1968503937007874" top="0.7480314960629921" bottom="0.51181102362204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78"/>
  <sheetViews>
    <sheetView zoomScalePageLayoutView="0" workbookViewId="0" topLeftCell="A1">
      <selection activeCell="A4" sqref="A4:H4"/>
    </sheetView>
  </sheetViews>
  <sheetFormatPr defaultColWidth="9.140625" defaultRowHeight="12.75"/>
  <cols>
    <col min="1" max="1" width="6.28125" style="99" customWidth="1"/>
    <col min="2" max="2" width="39.140625" style="99" customWidth="1"/>
    <col min="3" max="3" width="9.421875" style="100" customWidth="1"/>
    <col min="4" max="4" width="12.140625" style="100" customWidth="1"/>
    <col min="5" max="6" width="11.57421875" style="100" customWidth="1"/>
    <col min="7" max="7" width="9.8515625" style="100" customWidth="1"/>
    <col min="8" max="8" width="10.57421875" style="99" customWidth="1"/>
    <col min="9" max="9" width="13.7109375" style="99" customWidth="1"/>
    <col min="10" max="10" width="21.140625" style="99" customWidth="1"/>
    <col min="11" max="11" width="18.8515625" style="99" customWidth="1"/>
    <col min="12" max="12" width="18.00390625" style="99" customWidth="1"/>
    <col min="13" max="13" width="18.7109375" style="99" customWidth="1"/>
    <col min="14" max="14" width="15.00390625" style="99" customWidth="1"/>
    <col min="15" max="15" width="14.7109375" style="99" customWidth="1"/>
    <col min="16" max="16" width="13.8515625" style="99" customWidth="1"/>
    <col min="17" max="17" width="12.7109375" style="99" customWidth="1"/>
    <col min="18" max="16384" width="9.140625" style="99" customWidth="1"/>
  </cols>
  <sheetData>
    <row r="1" spans="5:8" ht="15">
      <c r="E1" s="816" t="s">
        <v>91</v>
      </c>
      <c r="F1" s="816"/>
      <c r="G1" s="816"/>
      <c r="H1" s="816"/>
    </row>
    <row r="2" spans="5:8" ht="15">
      <c r="E2" s="806" t="s">
        <v>625</v>
      </c>
      <c r="F2" s="806"/>
      <c r="G2" s="806"/>
      <c r="H2" s="806"/>
    </row>
    <row r="3" spans="1:8" ht="39.75" customHeight="1">
      <c r="A3" s="817" t="s">
        <v>897</v>
      </c>
      <c r="B3" s="816"/>
      <c r="C3" s="816"/>
      <c r="D3" s="816"/>
      <c r="E3" s="816"/>
      <c r="F3" s="816"/>
      <c r="G3" s="816"/>
      <c r="H3" s="816"/>
    </row>
    <row r="4" spans="1:8" ht="15">
      <c r="A4" s="809" t="str">
        <f>'bieu 48 '!A4:F4</f>
        <v>(Kèm theo Báo cáo số 627/BC-UBND ngày 10 tháng 7 năm 2024 của UBND huyện Bắc Sơn)</v>
      </c>
      <c r="B4" s="809"/>
      <c r="C4" s="809"/>
      <c r="D4" s="809"/>
      <c r="E4" s="809"/>
      <c r="F4" s="809"/>
      <c r="G4" s="809"/>
      <c r="H4" s="809"/>
    </row>
    <row r="5" ht="15">
      <c r="H5" s="162" t="s">
        <v>22</v>
      </c>
    </row>
    <row r="6" spans="1:8" s="101" customFormat="1" ht="15">
      <c r="A6" s="818" t="s">
        <v>23</v>
      </c>
      <c r="B6" s="818" t="s">
        <v>75</v>
      </c>
      <c r="C6" s="820" t="s">
        <v>25</v>
      </c>
      <c r="D6" s="820"/>
      <c r="E6" s="820" t="s">
        <v>26</v>
      </c>
      <c r="F6" s="820"/>
      <c r="G6" s="821" t="s">
        <v>76</v>
      </c>
      <c r="H6" s="821"/>
    </row>
    <row r="7" spans="1:10" s="101" customFormat="1" ht="45.75" customHeight="1">
      <c r="A7" s="819"/>
      <c r="B7" s="819"/>
      <c r="C7" s="163" t="s">
        <v>92</v>
      </c>
      <c r="D7" s="163" t="s">
        <v>93</v>
      </c>
      <c r="E7" s="163" t="s">
        <v>92</v>
      </c>
      <c r="F7" s="163" t="s">
        <v>93</v>
      </c>
      <c r="G7" s="163" t="s">
        <v>92</v>
      </c>
      <c r="H7" s="164" t="s">
        <v>93</v>
      </c>
      <c r="J7" s="101" t="s">
        <v>408</v>
      </c>
    </row>
    <row r="8" spans="1:8" ht="15">
      <c r="A8" s="165" t="s">
        <v>30</v>
      </c>
      <c r="B8" s="165" t="s">
        <v>31</v>
      </c>
      <c r="C8" s="166">
        <v>1</v>
      </c>
      <c r="D8" s="166">
        <v>2</v>
      </c>
      <c r="E8" s="166">
        <v>3</v>
      </c>
      <c r="F8" s="166">
        <v>4</v>
      </c>
      <c r="G8" s="166" t="s">
        <v>94</v>
      </c>
      <c r="H8" s="165" t="s">
        <v>95</v>
      </c>
    </row>
    <row r="9" spans="1:9" s="103" customFormat="1" ht="30">
      <c r="A9" s="89"/>
      <c r="B9" s="90" t="s">
        <v>473</v>
      </c>
      <c r="C9" s="91">
        <f>C10+C72+C73+C74+C75+C76</f>
        <v>34800</v>
      </c>
      <c r="D9" s="91">
        <f>D10+D72+D73+D74+D75+D76</f>
        <v>32010</v>
      </c>
      <c r="E9" s="386">
        <v>150119.058</v>
      </c>
      <c r="F9" s="386">
        <v>136085.69999999992</v>
      </c>
      <c r="G9" s="167"/>
      <c r="H9" s="168">
        <f>F9/D9</f>
        <v>4.251349578256792</v>
      </c>
      <c r="I9" s="102"/>
    </row>
    <row r="10" spans="1:8" s="103" customFormat="1" ht="30">
      <c r="A10" s="73" t="s">
        <v>30</v>
      </c>
      <c r="B10" s="74" t="s">
        <v>343</v>
      </c>
      <c r="C10" s="75">
        <f>C11</f>
        <v>34800</v>
      </c>
      <c r="D10" s="75">
        <f>D11</f>
        <v>32010</v>
      </c>
      <c r="E10" s="387">
        <f>E11+E69+E70+E71</f>
        <v>49887.545999999995</v>
      </c>
      <c r="F10" s="387">
        <f>F11+F69+F70+F71</f>
        <v>44406.18999999999</v>
      </c>
      <c r="G10" s="169"/>
      <c r="H10" s="170">
        <f>F10/D10</f>
        <v>1.3872599187753822</v>
      </c>
    </row>
    <row r="11" spans="1:13" s="103" customFormat="1" ht="19.5" customHeight="1">
      <c r="A11" s="73" t="s">
        <v>35</v>
      </c>
      <c r="B11" s="74" t="s">
        <v>344</v>
      </c>
      <c r="C11" s="76">
        <f>C12+C27+C34+C35+C36+C37+C38+C39+C40+C41+C42+C43+C48+C55+C67+C68</f>
        <v>34800</v>
      </c>
      <c r="D11" s="76">
        <f>D12+D27+D34+D35+D36+D37+D38+D39+D40+D41+D42+D43+D48+D55+D67+D68</f>
        <v>32010</v>
      </c>
      <c r="E11" s="388">
        <f>E12+E27+E34+E35+E36+E37+E38+E39+E40+E41+E42+E43+E48+E55+E67+E68</f>
        <v>48477.517</v>
      </c>
      <c r="F11" s="388">
        <f>F12+F27+F34+F35+F36+F37+F38+F39+F40+F41+F42+F43+F48+F55+F67+F68</f>
        <v>42996.16099999999</v>
      </c>
      <c r="G11" s="172"/>
      <c r="H11" s="170">
        <f>F11/D11</f>
        <v>1.3432102780381128</v>
      </c>
      <c r="J11" s="102"/>
      <c r="M11" s="291"/>
    </row>
    <row r="12" spans="1:8" s="103" customFormat="1" ht="19.5" customHeight="1">
      <c r="A12" s="73">
        <v>1</v>
      </c>
      <c r="B12" s="74" t="s">
        <v>345</v>
      </c>
      <c r="C12" s="75">
        <v>0</v>
      </c>
      <c r="D12" s="75">
        <v>0</v>
      </c>
      <c r="E12" s="387">
        <f>E20</f>
        <v>153.177</v>
      </c>
      <c r="F12" s="387">
        <f>F20</f>
        <v>0</v>
      </c>
      <c r="G12" s="172"/>
      <c r="H12" s="170"/>
    </row>
    <row r="13" spans="1:8" ht="19.5" customHeight="1">
      <c r="A13" s="77" t="s">
        <v>250</v>
      </c>
      <c r="B13" s="78" t="s">
        <v>346</v>
      </c>
      <c r="C13" s="79">
        <v>0</v>
      </c>
      <c r="D13" s="79">
        <v>0</v>
      </c>
      <c r="E13" s="389">
        <v>0</v>
      </c>
      <c r="F13" s="389">
        <v>0</v>
      </c>
      <c r="G13" s="172"/>
      <c r="H13" s="170"/>
    </row>
    <row r="14" spans="1:8" ht="30.75">
      <c r="A14" s="80" t="s">
        <v>264</v>
      </c>
      <c r="B14" s="81" t="s">
        <v>347</v>
      </c>
      <c r="C14" s="82"/>
      <c r="D14" s="82"/>
      <c r="E14" s="389">
        <v>0</v>
      </c>
      <c r="F14" s="389">
        <v>0</v>
      </c>
      <c r="G14" s="172"/>
      <c r="H14" s="170"/>
    </row>
    <row r="15" spans="1:8" ht="24.75" customHeight="1">
      <c r="A15" s="80" t="s">
        <v>348</v>
      </c>
      <c r="B15" s="81" t="s">
        <v>349</v>
      </c>
      <c r="C15" s="83"/>
      <c r="D15" s="83"/>
      <c r="E15" s="389">
        <v>0</v>
      </c>
      <c r="F15" s="389">
        <v>0</v>
      </c>
      <c r="G15" s="172"/>
      <c r="H15" s="170"/>
    </row>
    <row r="16" spans="1:8" ht="31.5" customHeight="1">
      <c r="A16" s="80" t="s">
        <v>350</v>
      </c>
      <c r="B16" s="81" t="s">
        <v>351</v>
      </c>
      <c r="C16" s="83"/>
      <c r="D16" s="83"/>
      <c r="E16" s="389">
        <v>0</v>
      </c>
      <c r="F16" s="389">
        <v>0</v>
      </c>
      <c r="G16" s="172"/>
      <c r="H16" s="170"/>
    </row>
    <row r="17" spans="1:8" ht="24.75" customHeight="1">
      <c r="A17" s="80" t="s">
        <v>352</v>
      </c>
      <c r="B17" s="81" t="s">
        <v>353</v>
      </c>
      <c r="C17" s="83"/>
      <c r="D17" s="83"/>
      <c r="E17" s="389">
        <v>0</v>
      </c>
      <c r="F17" s="389">
        <v>0</v>
      </c>
      <c r="G17" s="172"/>
      <c r="H17" s="170"/>
    </row>
    <row r="18" spans="1:8" ht="24.75" customHeight="1">
      <c r="A18" s="80" t="s">
        <v>354</v>
      </c>
      <c r="B18" s="81" t="s">
        <v>355</v>
      </c>
      <c r="C18" s="83"/>
      <c r="D18" s="83"/>
      <c r="E18" s="389">
        <v>0</v>
      </c>
      <c r="F18" s="389">
        <v>0</v>
      </c>
      <c r="G18" s="172"/>
      <c r="H18" s="170"/>
    </row>
    <row r="19" spans="1:8" ht="24.75" customHeight="1">
      <c r="A19" s="80" t="s">
        <v>356</v>
      </c>
      <c r="B19" s="81" t="s">
        <v>99</v>
      </c>
      <c r="C19" s="83"/>
      <c r="D19" s="83"/>
      <c r="E19" s="389">
        <v>0</v>
      </c>
      <c r="F19" s="389">
        <v>0</v>
      </c>
      <c r="G19" s="173"/>
      <c r="H19" s="170"/>
    </row>
    <row r="20" spans="1:8" ht="24.75" customHeight="1">
      <c r="A20" s="77" t="s">
        <v>251</v>
      </c>
      <c r="B20" s="78" t="s">
        <v>357</v>
      </c>
      <c r="C20" s="84">
        <v>0</v>
      </c>
      <c r="D20" s="84">
        <v>0</v>
      </c>
      <c r="E20" s="389">
        <f>E21+E22+E23+E24+E25+E26</f>
        <v>153.177</v>
      </c>
      <c r="F20" s="389">
        <f>F21+F22+F23+F24+F25+F26</f>
        <v>0</v>
      </c>
      <c r="G20" s="173"/>
      <c r="H20" s="170"/>
    </row>
    <row r="21" spans="1:8" ht="30.75">
      <c r="A21" s="80" t="s">
        <v>265</v>
      </c>
      <c r="B21" s="81" t="s">
        <v>347</v>
      </c>
      <c r="C21" s="82"/>
      <c r="D21" s="82"/>
      <c r="E21" s="389">
        <f>'[3]biểu 61'!$E$21</f>
        <v>55.745</v>
      </c>
      <c r="F21" s="389"/>
      <c r="G21" s="173"/>
      <c r="H21" s="170"/>
    </row>
    <row r="22" spans="1:8" ht="20.25" customHeight="1">
      <c r="A22" s="80" t="s">
        <v>358</v>
      </c>
      <c r="B22" s="81" t="s">
        <v>349</v>
      </c>
      <c r="C22" s="82"/>
      <c r="D22" s="82"/>
      <c r="E22" s="389">
        <f>'[3]biểu 61'!$E$22</f>
        <v>97.432</v>
      </c>
      <c r="F22" s="389"/>
      <c r="G22" s="173"/>
      <c r="H22" s="170"/>
    </row>
    <row r="23" spans="1:8" ht="30.75">
      <c r="A23" s="80" t="s">
        <v>359</v>
      </c>
      <c r="B23" s="81" t="s">
        <v>351</v>
      </c>
      <c r="C23" s="85"/>
      <c r="D23" s="85"/>
      <c r="E23" s="389">
        <v>0</v>
      </c>
      <c r="F23" s="389">
        <v>0</v>
      </c>
      <c r="G23" s="173"/>
      <c r="H23" s="170"/>
    </row>
    <row r="24" spans="1:8" ht="21.75" customHeight="1">
      <c r="A24" s="80" t="s">
        <v>360</v>
      </c>
      <c r="B24" s="81" t="s">
        <v>353</v>
      </c>
      <c r="C24" s="83"/>
      <c r="D24" s="83"/>
      <c r="E24" s="389">
        <v>0</v>
      </c>
      <c r="F24" s="389">
        <v>0</v>
      </c>
      <c r="G24" s="173"/>
      <c r="H24" s="170"/>
    </row>
    <row r="25" spans="1:8" ht="21.75" customHeight="1">
      <c r="A25" s="80" t="s">
        <v>361</v>
      </c>
      <c r="B25" s="81" t="s">
        <v>355</v>
      </c>
      <c r="C25" s="83"/>
      <c r="D25" s="83"/>
      <c r="E25" s="389">
        <v>0</v>
      </c>
      <c r="F25" s="389">
        <v>0</v>
      </c>
      <c r="G25" s="173"/>
      <c r="H25" s="170"/>
    </row>
    <row r="26" spans="1:8" ht="21.75" customHeight="1">
      <c r="A26" s="80" t="s">
        <v>362</v>
      </c>
      <c r="B26" s="81" t="s">
        <v>99</v>
      </c>
      <c r="C26" s="83"/>
      <c r="D26" s="83"/>
      <c r="E26" s="389">
        <v>0</v>
      </c>
      <c r="F26" s="389">
        <v>0</v>
      </c>
      <c r="G26" s="173"/>
      <c r="H26" s="170"/>
    </row>
    <row r="27" spans="1:8" s="103" customFormat="1" ht="23.25" customHeight="1">
      <c r="A27" s="73">
        <v>2</v>
      </c>
      <c r="B27" s="74" t="s">
        <v>363</v>
      </c>
      <c r="C27" s="75">
        <f>SUM(C28:C33)</f>
        <v>10410</v>
      </c>
      <c r="D27" s="75">
        <f>SUM(D28:D33)</f>
        <v>10410</v>
      </c>
      <c r="E27" s="387">
        <f>SUM(E28:E33)</f>
        <v>11161.287</v>
      </c>
      <c r="F27" s="387">
        <f>SUM(F28:F33)</f>
        <v>11161.287</v>
      </c>
      <c r="G27" s="169"/>
      <c r="H27" s="170">
        <f>F27/D27</f>
        <v>1.0721697406340058</v>
      </c>
    </row>
    <row r="28" spans="1:8" ht="30.75">
      <c r="A28" s="80" t="s">
        <v>252</v>
      </c>
      <c r="B28" s="81" t="s">
        <v>364</v>
      </c>
      <c r="C28" s="86">
        <f>'[3]biểu 61'!$C$28</f>
        <v>9430</v>
      </c>
      <c r="D28" s="86">
        <f>C28</f>
        <v>9430</v>
      </c>
      <c r="E28" s="389">
        <f>'[3]biểu 61'!$E$28</f>
        <v>10224.824</v>
      </c>
      <c r="F28" s="389">
        <f>E28</f>
        <v>10224.824</v>
      </c>
      <c r="G28" s="173"/>
      <c r="H28" s="174">
        <f>F28/D28</f>
        <v>1.0842867444326618</v>
      </c>
    </row>
    <row r="29" spans="1:8" ht="21.75" customHeight="1">
      <c r="A29" s="80" t="s">
        <v>253</v>
      </c>
      <c r="B29" s="81" t="s">
        <v>365</v>
      </c>
      <c r="C29" s="86">
        <f>'[3]biểu 61'!$C$29</f>
        <v>450</v>
      </c>
      <c r="D29" s="82">
        <f>C29</f>
        <v>450</v>
      </c>
      <c r="E29" s="389">
        <f>'[3]biểu 61'!$E$29</f>
        <v>427.111</v>
      </c>
      <c r="F29" s="389">
        <f>E29</f>
        <v>427.111</v>
      </c>
      <c r="G29" s="173"/>
      <c r="H29" s="174">
        <f>F29/D29</f>
        <v>0.9491355555555555</v>
      </c>
    </row>
    <row r="30" spans="1:8" ht="30.75">
      <c r="A30" s="80" t="s">
        <v>254</v>
      </c>
      <c r="B30" s="81" t="s">
        <v>366</v>
      </c>
      <c r="C30" s="86">
        <f>'[3]biểu 61'!$C$30</f>
        <v>30</v>
      </c>
      <c r="D30" s="85">
        <f>C30</f>
        <v>30</v>
      </c>
      <c r="E30" s="389">
        <f>'[3]biểu 61'!$E$30</f>
        <v>32.113</v>
      </c>
      <c r="F30" s="389">
        <f>E30</f>
        <v>32.113</v>
      </c>
      <c r="G30" s="173"/>
      <c r="H30" s="174"/>
    </row>
    <row r="31" spans="1:8" ht="19.5" customHeight="1">
      <c r="A31" s="80" t="s">
        <v>255</v>
      </c>
      <c r="B31" s="81" t="s">
        <v>353</v>
      </c>
      <c r="C31" s="86">
        <f>'[3]biểu 61'!$C$31</f>
        <v>500</v>
      </c>
      <c r="D31" s="82">
        <f>C31</f>
        <v>500</v>
      </c>
      <c r="E31" s="389">
        <f>'[3]biểu 61'!$E$31</f>
        <v>477.239</v>
      </c>
      <c r="F31" s="389">
        <f>E31</f>
        <v>477.239</v>
      </c>
      <c r="G31" s="173"/>
      <c r="H31" s="174">
        <f>F31/D31</f>
        <v>0.9544779999999999</v>
      </c>
    </row>
    <row r="32" spans="1:8" ht="19.5" customHeight="1">
      <c r="A32" s="80" t="s">
        <v>256</v>
      </c>
      <c r="B32" s="81" t="s">
        <v>355</v>
      </c>
      <c r="C32" s="82"/>
      <c r="D32" s="82"/>
      <c r="E32" s="389"/>
      <c r="F32" s="389"/>
      <c r="G32" s="173"/>
      <c r="H32" s="174"/>
    </row>
    <row r="33" spans="1:8" ht="19.5" customHeight="1">
      <c r="A33" s="80" t="s">
        <v>257</v>
      </c>
      <c r="B33" s="81" t="s">
        <v>99</v>
      </c>
      <c r="C33" s="82"/>
      <c r="D33" s="82"/>
      <c r="E33" s="389"/>
      <c r="F33" s="389"/>
      <c r="G33" s="173"/>
      <c r="H33" s="170"/>
    </row>
    <row r="34" spans="1:8" s="103" customFormat="1" ht="19.5" customHeight="1">
      <c r="A34" s="73">
        <v>3</v>
      </c>
      <c r="B34" s="74" t="s">
        <v>96</v>
      </c>
      <c r="C34" s="75">
        <f>'[3]biểu 61'!$C$34</f>
        <v>3500</v>
      </c>
      <c r="D34" s="75">
        <f>C34</f>
        <v>3500</v>
      </c>
      <c r="E34" s="387">
        <f>'[3]biểu 61'!$E$34</f>
        <v>3970.161</v>
      </c>
      <c r="F34" s="387">
        <f>E34</f>
        <v>3970.161</v>
      </c>
      <c r="G34" s="171"/>
      <c r="H34" s="170"/>
    </row>
    <row r="35" spans="1:8" s="103" customFormat="1" ht="19.5" customHeight="1">
      <c r="A35" s="73">
        <v>4</v>
      </c>
      <c r="B35" s="74" t="s">
        <v>367</v>
      </c>
      <c r="C35" s="75">
        <v>0</v>
      </c>
      <c r="D35" s="75">
        <v>0</v>
      </c>
      <c r="E35" s="387">
        <v>0</v>
      </c>
      <c r="F35" s="387">
        <v>0</v>
      </c>
      <c r="G35" s="171"/>
      <c r="H35" s="170"/>
    </row>
    <row r="36" spans="1:8" s="103" customFormat="1" ht="19.5" customHeight="1">
      <c r="A36" s="73">
        <v>5</v>
      </c>
      <c r="B36" s="74" t="s">
        <v>368</v>
      </c>
      <c r="C36" s="75">
        <f>'[3]biểu 61'!$D$36</f>
        <v>10000</v>
      </c>
      <c r="D36" s="75">
        <f>C36</f>
        <v>10000</v>
      </c>
      <c r="E36" s="387">
        <f>'[3]biểu 61'!$E$36</f>
        <v>18253.475</v>
      </c>
      <c r="F36" s="387">
        <f>E36</f>
        <v>18253.475</v>
      </c>
      <c r="G36" s="169"/>
      <c r="H36" s="170">
        <f>F36/D36</f>
        <v>1.8253475</v>
      </c>
    </row>
    <row r="37" spans="1:8" s="103" customFormat="1" ht="19.5" customHeight="1">
      <c r="A37" s="73">
        <v>6</v>
      </c>
      <c r="B37" s="74" t="s">
        <v>369</v>
      </c>
      <c r="C37" s="75">
        <f>'[3]biểu 61'!$C$37</f>
        <v>100</v>
      </c>
      <c r="D37" s="75">
        <f>C37</f>
        <v>100</v>
      </c>
      <c r="E37" s="387">
        <f>'[3]biểu 61'!$E$37</f>
        <v>306.135</v>
      </c>
      <c r="F37" s="387">
        <f>E37</f>
        <v>306.135</v>
      </c>
      <c r="G37" s="169"/>
      <c r="H37" s="170">
        <f>F37/D37</f>
        <v>3.06135</v>
      </c>
    </row>
    <row r="38" spans="1:8" s="103" customFormat="1" ht="19.5" customHeight="1">
      <c r="A38" s="73">
        <v>7</v>
      </c>
      <c r="B38" s="74" t="s">
        <v>370</v>
      </c>
      <c r="C38" s="75">
        <f>'[3]biểu 61'!$C$38</f>
        <v>500</v>
      </c>
      <c r="D38" s="75">
        <f>C38</f>
        <v>500</v>
      </c>
      <c r="E38" s="387">
        <f>'[3]biểu 61'!$E$38</f>
        <v>464.536</v>
      </c>
      <c r="F38" s="387">
        <f>E38</f>
        <v>464.536</v>
      </c>
      <c r="G38" s="169"/>
      <c r="H38" s="170">
        <f>F38/D38</f>
        <v>0.929072</v>
      </c>
    </row>
    <row r="39" spans="1:8" s="103" customFormat="1" ht="19.5" customHeight="1">
      <c r="A39" s="73">
        <v>8</v>
      </c>
      <c r="B39" s="74" t="s">
        <v>371</v>
      </c>
      <c r="C39" s="75"/>
      <c r="D39" s="75"/>
      <c r="E39" s="387">
        <v>0</v>
      </c>
      <c r="F39" s="387">
        <v>0</v>
      </c>
      <c r="G39" s="169"/>
      <c r="H39" s="170"/>
    </row>
    <row r="40" spans="1:8" s="103" customFormat="1" ht="21.75" customHeight="1">
      <c r="A40" s="73">
        <v>9</v>
      </c>
      <c r="B40" s="74" t="s">
        <v>372</v>
      </c>
      <c r="C40" s="75"/>
      <c r="D40" s="75"/>
      <c r="E40" s="387">
        <v>0</v>
      </c>
      <c r="F40" s="387">
        <v>0</v>
      </c>
      <c r="G40" s="169"/>
      <c r="H40" s="170"/>
    </row>
    <row r="41" spans="1:8" s="103" customFormat="1" ht="18" customHeight="1">
      <c r="A41" s="73">
        <v>10</v>
      </c>
      <c r="B41" s="74" t="s">
        <v>97</v>
      </c>
      <c r="C41" s="75">
        <f>'[3]biểu 61'!$C$41</f>
        <v>4500</v>
      </c>
      <c r="D41" s="75">
        <f>C41</f>
        <v>4500</v>
      </c>
      <c r="E41" s="387">
        <f>'[3]biểu 61'!$E$41</f>
        <v>4795.369000000001</v>
      </c>
      <c r="F41" s="387">
        <f>E41</f>
        <v>4795.369000000001</v>
      </c>
      <c r="G41" s="169"/>
      <c r="H41" s="170">
        <f>F41/D41</f>
        <v>1.0656375555555557</v>
      </c>
    </row>
    <row r="42" spans="1:8" s="103" customFormat="1" ht="18" customHeight="1">
      <c r="A42" s="73">
        <v>11</v>
      </c>
      <c r="B42" s="74" t="s">
        <v>373</v>
      </c>
      <c r="C42" s="75"/>
      <c r="D42" s="75"/>
      <c r="E42" s="387">
        <v>0</v>
      </c>
      <c r="F42" s="387">
        <v>0</v>
      </c>
      <c r="G42" s="169"/>
      <c r="H42" s="170"/>
    </row>
    <row r="43" spans="1:8" s="103" customFormat="1" ht="18" customHeight="1">
      <c r="A43" s="73">
        <v>12</v>
      </c>
      <c r="B43" s="74" t="s">
        <v>374</v>
      </c>
      <c r="C43" s="75">
        <f>'[3]biểu 61'!$C$43</f>
        <v>1500</v>
      </c>
      <c r="D43" s="75">
        <f>C43</f>
        <v>1500</v>
      </c>
      <c r="E43" s="387">
        <f>'[3]biểu 61'!$E$43</f>
        <v>1843.895</v>
      </c>
      <c r="F43" s="387">
        <f>519.635+827.478</f>
        <v>1347.1129999999998</v>
      </c>
      <c r="G43" s="169"/>
      <c r="H43" s="170"/>
    </row>
    <row r="44" spans="1:8" ht="18" customHeight="1">
      <c r="A44" s="80" t="s">
        <v>375</v>
      </c>
      <c r="B44" s="81" t="s">
        <v>376</v>
      </c>
      <c r="C44" s="85"/>
      <c r="D44" s="85"/>
      <c r="E44" s="389">
        <f>'[3]biểu 61'!$E$44</f>
        <v>496.782</v>
      </c>
      <c r="F44" s="389"/>
      <c r="G44" s="173"/>
      <c r="H44" s="170"/>
    </row>
    <row r="45" spans="1:8" ht="18" customHeight="1">
      <c r="A45" s="80" t="s">
        <v>377</v>
      </c>
      <c r="B45" s="81" t="s">
        <v>378</v>
      </c>
      <c r="C45" s="82">
        <f>C43</f>
        <v>1500</v>
      </c>
      <c r="D45" s="82">
        <f>C45</f>
        <v>1500</v>
      </c>
      <c r="E45" s="389">
        <f>'[3]biểu 61'!$E$45</f>
        <v>519.635</v>
      </c>
      <c r="F45" s="389">
        <f>'[3]biểu 61'!$H$45</f>
        <v>519.635</v>
      </c>
      <c r="G45" s="173"/>
      <c r="H45" s="174"/>
    </row>
    <row r="46" spans="1:8" ht="18" customHeight="1">
      <c r="A46" s="80" t="s">
        <v>379</v>
      </c>
      <c r="B46" s="81" t="s">
        <v>380</v>
      </c>
      <c r="C46" s="83"/>
      <c r="D46" s="83"/>
      <c r="E46" s="389">
        <f>'[3]biểu 61'!$E$46</f>
        <v>827.478</v>
      </c>
      <c r="F46" s="389">
        <f>E46</f>
        <v>827.478</v>
      </c>
      <c r="G46" s="173"/>
      <c r="H46" s="170"/>
    </row>
    <row r="47" spans="1:8" ht="33" customHeight="1">
      <c r="A47" s="80"/>
      <c r="B47" s="93" t="s">
        <v>474</v>
      </c>
      <c r="C47" s="792">
        <f>'[3]biểu 61'!$C$47</f>
        <v>100</v>
      </c>
      <c r="D47" s="83"/>
      <c r="E47" s="390">
        <f>'[3]biểu 61'!$E$47</f>
        <v>130.067</v>
      </c>
      <c r="F47" s="390">
        <f>E47</f>
        <v>130.067</v>
      </c>
      <c r="G47" s="173"/>
      <c r="H47" s="170"/>
    </row>
    <row r="48" spans="1:8" s="103" customFormat="1" ht="18" customHeight="1">
      <c r="A48" s="73">
        <v>13</v>
      </c>
      <c r="B48" s="74" t="s">
        <v>381</v>
      </c>
      <c r="C48" s="75">
        <f>C49+C50+C51+C52+C53+C54</f>
        <v>0</v>
      </c>
      <c r="D48" s="75">
        <f>D49+D50+D51+D52+D53+D54</f>
        <v>0</v>
      </c>
      <c r="E48" s="387">
        <f>SUM(E49:E54)</f>
        <v>0</v>
      </c>
      <c r="F48" s="387">
        <f>SUM(F49:F54)</f>
        <v>0</v>
      </c>
      <c r="G48" s="169"/>
      <c r="H48" s="170"/>
    </row>
    <row r="49" spans="1:8" ht="15" hidden="1">
      <c r="A49" s="80" t="s">
        <v>382</v>
      </c>
      <c r="B49" s="81" t="s">
        <v>383</v>
      </c>
      <c r="C49" s="87">
        <v>0</v>
      </c>
      <c r="D49" s="87">
        <v>0</v>
      </c>
      <c r="E49" s="389">
        <v>0</v>
      </c>
      <c r="F49" s="389">
        <v>0</v>
      </c>
      <c r="G49" s="173"/>
      <c r="H49" s="170"/>
    </row>
    <row r="50" spans="1:8" ht="19.5" customHeight="1" hidden="1">
      <c r="A50" s="80" t="s">
        <v>384</v>
      </c>
      <c r="B50" s="81" t="s">
        <v>385</v>
      </c>
      <c r="C50" s="83"/>
      <c r="D50" s="83"/>
      <c r="E50" s="389">
        <v>0</v>
      </c>
      <c r="F50" s="389">
        <v>0</v>
      </c>
      <c r="G50" s="173"/>
      <c r="H50" s="170"/>
    </row>
    <row r="51" spans="1:8" ht="19.5" customHeight="1" hidden="1">
      <c r="A51" s="80" t="s">
        <v>386</v>
      </c>
      <c r="B51" s="81" t="s">
        <v>387</v>
      </c>
      <c r="C51" s="83"/>
      <c r="D51" s="83"/>
      <c r="E51" s="389">
        <v>0</v>
      </c>
      <c r="F51" s="389">
        <v>0</v>
      </c>
      <c r="G51" s="173"/>
      <c r="H51" s="170"/>
    </row>
    <row r="52" spans="1:8" ht="19.5" customHeight="1" hidden="1">
      <c r="A52" s="80" t="s">
        <v>388</v>
      </c>
      <c r="B52" s="81" t="s">
        <v>368</v>
      </c>
      <c r="C52" s="83"/>
      <c r="D52" s="83"/>
      <c r="E52" s="389">
        <v>0</v>
      </c>
      <c r="F52" s="389">
        <v>0</v>
      </c>
      <c r="G52" s="173"/>
      <c r="H52" s="170"/>
    </row>
    <row r="53" spans="1:8" ht="19.5" customHeight="1" hidden="1">
      <c r="A53" s="80" t="s">
        <v>389</v>
      </c>
      <c r="B53" s="81" t="s">
        <v>390</v>
      </c>
      <c r="C53" s="83"/>
      <c r="D53" s="83"/>
      <c r="E53" s="389">
        <v>0</v>
      </c>
      <c r="F53" s="389">
        <v>0</v>
      </c>
      <c r="G53" s="173"/>
      <c r="H53" s="170"/>
    </row>
    <row r="54" spans="1:8" ht="19.5" customHeight="1" hidden="1">
      <c r="A54" s="80" t="s">
        <v>391</v>
      </c>
      <c r="B54" s="81" t="s">
        <v>441</v>
      </c>
      <c r="C54" s="83"/>
      <c r="D54" s="83"/>
      <c r="E54" s="389">
        <v>0</v>
      </c>
      <c r="F54" s="389">
        <v>0</v>
      </c>
      <c r="G54" s="173"/>
      <c r="H54" s="170"/>
    </row>
    <row r="55" spans="1:8" s="103" customFormat="1" ht="19.5" customHeight="1">
      <c r="A55" s="73">
        <v>14</v>
      </c>
      <c r="B55" s="74" t="s">
        <v>98</v>
      </c>
      <c r="C55" s="75">
        <f>'[3]biểu 61'!$C$55</f>
        <v>4200</v>
      </c>
      <c r="D55" s="75">
        <f>C55-2700</f>
        <v>1500</v>
      </c>
      <c r="E55" s="387">
        <f>'[3]biểu 61'!$E$55</f>
        <v>7443.378000000001</v>
      </c>
      <c r="F55" s="387">
        <f>2453.181+244.904</f>
        <v>2698.085</v>
      </c>
      <c r="G55" s="169"/>
      <c r="H55" s="170">
        <f>F55/D55</f>
        <v>1.7987233333333335</v>
      </c>
    </row>
    <row r="56" spans="1:8" ht="15">
      <c r="A56" s="94" t="s">
        <v>392</v>
      </c>
      <c r="B56" s="95" t="s">
        <v>475</v>
      </c>
      <c r="C56" s="83"/>
      <c r="D56" s="83"/>
      <c r="E56" s="389"/>
      <c r="F56" s="389">
        <f>580.213+189.845</f>
        <v>770.058</v>
      </c>
      <c r="G56" s="173"/>
      <c r="H56" s="170"/>
    </row>
    <row r="57" spans="1:8" s="193" customFormat="1" ht="23.25" customHeight="1">
      <c r="A57" s="794"/>
      <c r="B57" s="795" t="s">
        <v>476</v>
      </c>
      <c r="C57" s="792">
        <f>'[3]biểu 61'!$C$58</f>
        <v>2500</v>
      </c>
      <c r="D57" s="792"/>
      <c r="E57" s="793">
        <f>'[3]biểu 61'!$E$58</f>
        <v>3527.065</v>
      </c>
      <c r="F57" s="793"/>
      <c r="G57" s="796"/>
      <c r="H57" s="797"/>
    </row>
    <row r="58" spans="1:8" s="193" customFormat="1" ht="15">
      <c r="A58" s="794"/>
      <c r="B58" s="795" t="s">
        <v>477</v>
      </c>
      <c r="C58" s="792">
        <f>'[3]biểu 61'!$C$59</f>
        <v>200</v>
      </c>
      <c r="D58" s="792"/>
      <c r="E58" s="793">
        <f>'[3]biểu 61'!$E$59</f>
        <v>117.929</v>
      </c>
      <c r="F58" s="793"/>
      <c r="G58" s="796"/>
      <c r="H58" s="798"/>
    </row>
    <row r="59" spans="1:8" ht="18" customHeight="1">
      <c r="A59" s="96" t="s">
        <v>393</v>
      </c>
      <c r="B59" s="97" t="s">
        <v>478</v>
      </c>
      <c r="C59" s="83"/>
      <c r="D59" s="83"/>
      <c r="E59" s="389">
        <f>'[3]biểu 61'!$E$60</f>
        <v>160.362</v>
      </c>
      <c r="F59" s="389">
        <f>26.98+1.827</f>
        <v>28.807000000000002</v>
      </c>
      <c r="G59" s="173"/>
      <c r="H59" s="170"/>
    </row>
    <row r="60" spans="1:8" ht="18" customHeight="1">
      <c r="A60" s="94"/>
      <c r="B60" s="98" t="s">
        <v>394</v>
      </c>
      <c r="C60" s="83"/>
      <c r="D60" s="83"/>
      <c r="E60" s="389"/>
      <c r="F60" s="389"/>
      <c r="G60" s="173"/>
      <c r="H60" s="170"/>
    </row>
    <row r="61" spans="1:8" ht="18" customHeight="1">
      <c r="A61" s="96" t="s">
        <v>395</v>
      </c>
      <c r="B61" s="97" t="s">
        <v>396</v>
      </c>
      <c r="C61" s="83"/>
      <c r="D61" s="83"/>
      <c r="E61" s="389"/>
      <c r="F61" s="389"/>
      <c r="G61" s="173"/>
      <c r="H61" s="170"/>
    </row>
    <row r="62" spans="1:8" ht="18" customHeight="1">
      <c r="A62" s="96" t="s">
        <v>397</v>
      </c>
      <c r="B62" s="97" t="s">
        <v>398</v>
      </c>
      <c r="C62" s="82"/>
      <c r="D62" s="82"/>
      <c r="E62" s="389"/>
      <c r="F62" s="389"/>
      <c r="G62" s="173"/>
      <c r="H62" s="174"/>
    </row>
    <row r="63" spans="1:8" ht="15">
      <c r="A63" s="96" t="s">
        <v>399</v>
      </c>
      <c r="B63" s="97" t="s">
        <v>400</v>
      </c>
      <c r="C63" s="82"/>
      <c r="D63" s="82"/>
      <c r="E63" s="389">
        <f>'[3]biểu 61'!$E$64</f>
        <v>1601.401</v>
      </c>
      <c r="F63" s="389">
        <f>1569.609+27.652</f>
        <v>1597.261</v>
      </c>
      <c r="G63" s="173"/>
      <c r="H63" s="170"/>
    </row>
    <row r="64" spans="1:8" ht="15">
      <c r="A64" s="96" t="s">
        <v>401</v>
      </c>
      <c r="B64" s="97" t="s">
        <v>479</v>
      </c>
      <c r="C64" s="82"/>
      <c r="D64" s="82"/>
      <c r="E64" s="389">
        <f>'[3]biểu 61'!$E$65</f>
        <v>15.498</v>
      </c>
      <c r="F64" s="389">
        <v>15.498</v>
      </c>
      <c r="G64" s="173"/>
      <c r="H64" s="170"/>
    </row>
    <row r="65" spans="1:8" ht="15">
      <c r="A65" s="96" t="s">
        <v>402</v>
      </c>
      <c r="B65" s="97" t="s">
        <v>480</v>
      </c>
      <c r="C65" s="82"/>
      <c r="D65" s="82"/>
      <c r="E65" s="389">
        <f>'[3]biểu 61'!$E$66</f>
        <v>351.981</v>
      </c>
      <c r="F65" s="389">
        <f>66.822+34.205</f>
        <v>101.027</v>
      </c>
      <c r="G65" s="173"/>
      <c r="H65" s="170"/>
    </row>
    <row r="66" spans="1:8" ht="15">
      <c r="A66" s="96"/>
      <c r="B66" s="175" t="s">
        <v>11</v>
      </c>
      <c r="C66" s="82"/>
      <c r="D66" s="82"/>
      <c r="E66" s="390">
        <f>'[3]biểu 61'!$E$67</f>
        <v>235.588</v>
      </c>
      <c r="F66" s="390"/>
      <c r="G66" s="173"/>
      <c r="H66" s="170"/>
    </row>
    <row r="67" spans="1:8" s="103" customFormat="1" ht="20.25" customHeight="1">
      <c r="A67" s="73">
        <v>15</v>
      </c>
      <c r="B67" s="88" t="s">
        <v>403</v>
      </c>
      <c r="C67" s="76">
        <f>'[3]biểu 61'!$C$68</f>
        <v>90</v>
      </c>
      <c r="D67" s="76">
        <v>0</v>
      </c>
      <c r="E67" s="387">
        <f>'[3]biểu 61'!$E$68</f>
        <v>86.104</v>
      </c>
      <c r="F67" s="387"/>
      <c r="G67" s="169"/>
      <c r="H67" s="170"/>
    </row>
    <row r="68" spans="1:8" s="103" customFormat="1" ht="20.25" customHeight="1">
      <c r="A68" s="73">
        <v>16</v>
      </c>
      <c r="B68" s="88" t="s">
        <v>404</v>
      </c>
      <c r="C68" s="76"/>
      <c r="D68" s="76"/>
      <c r="E68" s="387">
        <v>0</v>
      </c>
      <c r="F68" s="387">
        <f>E68</f>
        <v>0</v>
      </c>
      <c r="G68" s="169"/>
      <c r="H68" s="170"/>
    </row>
    <row r="69" spans="1:8" s="103" customFormat="1" ht="30">
      <c r="A69" s="73" t="s">
        <v>40</v>
      </c>
      <c r="B69" s="74" t="s">
        <v>405</v>
      </c>
      <c r="C69" s="75"/>
      <c r="D69" s="75"/>
      <c r="E69" s="387">
        <v>0</v>
      </c>
      <c r="F69" s="387">
        <f>E69</f>
        <v>0</v>
      </c>
      <c r="G69" s="169"/>
      <c r="H69" s="170"/>
    </row>
    <row r="70" spans="1:8" s="103" customFormat="1" ht="20.25" customHeight="1">
      <c r="A70" s="73" t="s">
        <v>44</v>
      </c>
      <c r="B70" s="74" t="s">
        <v>406</v>
      </c>
      <c r="C70" s="75"/>
      <c r="D70" s="75"/>
      <c r="E70" s="387">
        <f>'[3]biểu 61'!$E$71</f>
        <v>1002.829</v>
      </c>
      <c r="F70" s="387">
        <f>E70</f>
        <v>1002.829</v>
      </c>
      <c r="G70" s="169"/>
      <c r="H70" s="170"/>
    </row>
    <row r="71" spans="1:8" s="103" customFormat="1" ht="20.25" customHeight="1">
      <c r="A71" s="176" t="s">
        <v>46</v>
      </c>
      <c r="B71" s="177" t="s">
        <v>100</v>
      </c>
      <c r="C71" s="169">
        <f>'[3]biểu 61'!$C$70</f>
        <v>407.2</v>
      </c>
      <c r="D71" s="169">
        <f>C71</f>
        <v>407.2</v>
      </c>
      <c r="E71" s="387">
        <f>'[3]biểu 61'!$E$70</f>
        <v>407.2</v>
      </c>
      <c r="F71" s="387">
        <f>E71</f>
        <v>407.2</v>
      </c>
      <c r="G71" s="169"/>
      <c r="H71" s="170"/>
    </row>
    <row r="72" spans="1:8" s="103" customFormat="1" ht="30">
      <c r="A72" s="73" t="s">
        <v>31</v>
      </c>
      <c r="B72" s="74" t="s">
        <v>20</v>
      </c>
      <c r="C72" s="75"/>
      <c r="D72" s="75"/>
      <c r="E72" s="387">
        <f>'[3]biểu 61'!$E$91</f>
        <v>9702</v>
      </c>
      <c r="F72" s="387">
        <v>1150</v>
      </c>
      <c r="G72" s="169"/>
      <c r="H72" s="170"/>
    </row>
    <row r="73" spans="1:8" s="103" customFormat="1" ht="23.25" customHeight="1">
      <c r="A73" s="397" t="s">
        <v>62</v>
      </c>
      <c r="B73" s="398" t="s">
        <v>101</v>
      </c>
      <c r="C73" s="167"/>
      <c r="D73" s="167"/>
      <c r="E73" s="399"/>
      <c r="F73" s="399"/>
      <c r="G73" s="167"/>
      <c r="H73" s="168"/>
    </row>
    <row r="74" spans="1:8" s="103" customFormat="1" ht="23.25" customHeight="1">
      <c r="A74" s="176" t="s">
        <v>64</v>
      </c>
      <c r="B74" s="177" t="s">
        <v>102</v>
      </c>
      <c r="C74" s="169"/>
      <c r="D74" s="169"/>
      <c r="E74" s="387">
        <f>'[3]biểu 61'!$E$72</f>
        <v>1437.877</v>
      </c>
      <c r="F74" s="387">
        <f>E74</f>
        <v>1437.877</v>
      </c>
      <c r="G74" s="169"/>
      <c r="H74" s="170"/>
    </row>
    <row r="75" spans="1:8" s="103" customFormat="1" ht="37.5" customHeight="1">
      <c r="A75" s="392" t="s">
        <v>68</v>
      </c>
      <c r="B75" s="393" t="s">
        <v>103</v>
      </c>
      <c r="C75" s="394"/>
      <c r="D75" s="394"/>
      <c r="E75" s="395">
        <f>'[3]biểu 61'!$E$73</f>
        <v>89091.625</v>
      </c>
      <c r="F75" s="395">
        <f>E75</f>
        <v>89091.625</v>
      </c>
      <c r="G75" s="394"/>
      <c r="H75" s="396"/>
    </row>
    <row r="76" spans="1:8" s="103" customFormat="1" ht="37.5" customHeight="1" hidden="1">
      <c r="A76" s="178"/>
      <c r="B76" s="179"/>
      <c r="C76" s="180"/>
      <c r="D76" s="180"/>
      <c r="E76" s="391"/>
      <c r="F76" s="391"/>
      <c r="G76" s="180"/>
      <c r="H76" s="181"/>
    </row>
    <row r="77" ht="15">
      <c r="A77" s="182"/>
    </row>
    <row r="78" spans="1:8" ht="15">
      <c r="A78" s="104"/>
      <c r="B78" s="104"/>
      <c r="C78" s="105"/>
      <c r="D78" s="105"/>
      <c r="E78" s="105"/>
      <c r="F78" s="105"/>
      <c r="G78" s="105"/>
      <c r="H78" s="104"/>
    </row>
  </sheetData>
  <sheetProtection/>
  <mergeCells count="9">
    <mergeCell ref="E2:H2"/>
    <mergeCell ref="E1:H1"/>
    <mergeCell ref="A3:H3"/>
    <mergeCell ref="A4:H4"/>
    <mergeCell ref="A6:A7"/>
    <mergeCell ref="B6:B7"/>
    <mergeCell ref="C6:D6"/>
    <mergeCell ref="E6:F6"/>
    <mergeCell ref="G6:H6"/>
  </mergeCells>
  <printOptions horizontalCentered="1"/>
  <pageMargins left="0.7874015748031497" right="0" top="0.5905511811023623" bottom="0.3937007874015748" header="0.1968503937007874" footer="0.196850393700787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1">
      <selection activeCell="A4" sqref="A4:E4"/>
    </sheetView>
  </sheetViews>
  <sheetFormatPr defaultColWidth="9.140625" defaultRowHeight="12.75"/>
  <cols>
    <col min="1" max="1" width="5.00390625" style="2" customWidth="1"/>
    <col min="2" max="2" width="64.421875" style="2" customWidth="1"/>
    <col min="3" max="4" width="11.421875" style="2" customWidth="1"/>
    <col min="5" max="5" width="11.421875" style="11" customWidth="1"/>
    <col min="6" max="11" width="0" style="2" hidden="1" customWidth="1"/>
    <col min="12" max="12" width="9.57421875" style="2" hidden="1" customWidth="1"/>
    <col min="13" max="16384" width="9.140625" style="2" customWidth="1"/>
  </cols>
  <sheetData>
    <row r="1" spans="3:5" ht="15">
      <c r="C1" s="822" t="s">
        <v>104</v>
      </c>
      <c r="D1" s="822"/>
      <c r="E1" s="822"/>
    </row>
    <row r="2" spans="3:5" ht="15">
      <c r="C2" s="806" t="s">
        <v>625</v>
      </c>
      <c r="D2" s="806"/>
      <c r="E2" s="806"/>
    </row>
    <row r="3" spans="1:5" ht="31.5" customHeight="1">
      <c r="A3" s="822" t="s">
        <v>898</v>
      </c>
      <c r="B3" s="822"/>
      <c r="C3" s="822"/>
      <c r="D3" s="822"/>
      <c r="E3" s="822"/>
    </row>
    <row r="4" spans="1:5" ht="15">
      <c r="A4" s="823" t="str">
        <f>'bieu 48 '!A4:F4</f>
        <v>(Kèm theo Báo cáo số 627/BC-UBND ngày 10 tháng 7 năm 2024 của UBND huyện Bắc Sơn)</v>
      </c>
      <c r="B4" s="823"/>
      <c r="C4" s="823"/>
      <c r="D4" s="823"/>
      <c r="E4" s="823"/>
    </row>
    <row r="5" ht="15">
      <c r="E5" s="3" t="s">
        <v>22</v>
      </c>
    </row>
    <row r="6" spans="1:5" ht="30">
      <c r="A6" s="4" t="s">
        <v>23</v>
      </c>
      <c r="B6" s="4" t="s">
        <v>24</v>
      </c>
      <c r="C6" s="4" t="s">
        <v>25</v>
      </c>
      <c r="D6" s="4" t="s">
        <v>26</v>
      </c>
      <c r="E6" s="4" t="s">
        <v>76</v>
      </c>
    </row>
    <row r="7" spans="1:5" ht="15">
      <c r="A7" s="4" t="s">
        <v>30</v>
      </c>
      <c r="B7" s="4" t="s">
        <v>31</v>
      </c>
      <c r="C7" s="4">
        <v>1</v>
      </c>
      <c r="D7" s="4">
        <v>2</v>
      </c>
      <c r="E7" s="4" t="s">
        <v>105</v>
      </c>
    </row>
    <row r="8" spans="1:12" s="10" customFormat="1" ht="25.5" customHeight="1">
      <c r="A8" s="13"/>
      <c r="B8" s="14" t="s">
        <v>106</v>
      </c>
      <c r="C8" s="216">
        <f>C9+C32+C39+C40+C41</f>
        <v>657083</v>
      </c>
      <c r="D8" s="253">
        <f>D9+D32+D39+D40+D41+D42</f>
        <v>850376.7279999999</v>
      </c>
      <c r="E8" s="217">
        <f>D8/C8</f>
        <v>1.2941694245628024</v>
      </c>
      <c r="F8" s="10">
        <f>878933.22-135463.49</f>
        <v>743469.73</v>
      </c>
      <c r="G8" s="145">
        <f>D8-F8</f>
        <v>106906.9979999999</v>
      </c>
      <c r="I8" s="10">
        <f>733525-103169</f>
        <v>630356</v>
      </c>
      <c r="J8" s="145">
        <f>D8-I8</f>
        <v>220020.7279999999</v>
      </c>
      <c r="K8" s="10">
        <v>510028</v>
      </c>
      <c r="L8" s="215">
        <f>D8/K8</f>
        <v>1.6673138102221836</v>
      </c>
    </row>
    <row r="9" spans="1:5" s="10" customFormat="1" ht="25.5" customHeight="1">
      <c r="A9" s="15" t="s">
        <v>30</v>
      </c>
      <c r="B9" s="16" t="s">
        <v>107</v>
      </c>
      <c r="C9" s="218">
        <f>C10+C23+C27+C28+C29+C30+C31</f>
        <v>540915</v>
      </c>
      <c r="D9" s="254">
        <f>D10+D23+D27+D28+D29+D30+D31</f>
        <v>603184.463</v>
      </c>
      <c r="E9" s="219">
        <f>D9/C9</f>
        <v>1.1151187580303745</v>
      </c>
    </row>
    <row r="10" spans="1:5" s="10" customFormat="1" ht="25.5" customHeight="1">
      <c r="A10" s="15" t="s">
        <v>35</v>
      </c>
      <c r="B10" s="16" t="s">
        <v>52</v>
      </c>
      <c r="C10" s="218">
        <f>'bieu 48 '!C24</f>
        <v>14608</v>
      </c>
      <c r="D10" s="254">
        <f>'bieu 48 '!D24</f>
        <v>38348.075</v>
      </c>
      <c r="E10" s="219">
        <f>D10/C10</f>
        <v>2.6251420454545453</v>
      </c>
    </row>
    <row r="11" spans="1:5" ht="25.5" customHeight="1">
      <c r="A11" s="17">
        <v>1</v>
      </c>
      <c r="B11" s="18" t="s">
        <v>108</v>
      </c>
      <c r="C11" s="220"/>
      <c r="D11" s="255"/>
      <c r="E11" s="135"/>
    </row>
    <row r="12" spans="1:5" ht="25.5" customHeight="1">
      <c r="A12" s="17"/>
      <c r="B12" s="221" t="s">
        <v>109</v>
      </c>
      <c r="C12" s="220"/>
      <c r="D12" s="255"/>
      <c r="E12" s="135"/>
    </row>
    <row r="13" spans="1:6" ht="25.5" customHeight="1">
      <c r="A13" s="17" t="s">
        <v>37</v>
      </c>
      <c r="B13" s="144" t="s">
        <v>129</v>
      </c>
      <c r="C13" s="220"/>
      <c r="D13" s="255"/>
      <c r="E13" s="135"/>
      <c r="F13" s="33"/>
    </row>
    <row r="14" spans="1:5" ht="25.5" customHeight="1">
      <c r="A14" s="17" t="s">
        <v>37</v>
      </c>
      <c r="B14" s="144" t="s">
        <v>12</v>
      </c>
      <c r="C14" s="220"/>
      <c r="D14" s="255"/>
      <c r="E14" s="135"/>
    </row>
    <row r="15" spans="1:5" ht="25.5" customHeight="1">
      <c r="A15" s="17" t="s">
        <v>412</v>
      </c>
      <c r="B15" s="144" t="s">
        <v>13</v>
      </c>
      <c r="C15" s="220"/>
      <c r="D15" s="255"/>
      <c r="E15" s="135"/>
    </row>
    <row r="16" spans="1:5" ht="25.5" customHeight="1">
      <c r="A16" s="17" t="s">
        <v>412</v>
      </c>
      <c r="B16" s="144" t="s">
        <v>14</v>
      </c>
      <c r="C16" s="220"/>
      <c r="D16" s="255"/>
      <c r="E16" s="135"/>
    </row>
    <row r="17" spans="1:5" ht="25.5" customHeight="1">
      <c r="A17" s="17" t="s">
        <v>412</v>
      </c>
      <c r="B17" s="144" t="s">
        <v>135</v>
      </c>
      <c r="C17" s="220"/>
      <c r="D17" s="255"/>
      <c r="E17" s="135"/>
    </row>
    <row r="18" spans="1:5" ht="25.5" customHeight="1">
      <c r="A18" s="17"/>
      <c r="B18" s="221" t="s">
        <v>112</v>
      </c>
      <c r="C18" s="220"/>
      <c r="D18" s="255"/>
      <c r="E18" s="135"/>
    </row>
    <row r="19" spans="1:5" ht="25.5" customHeight="1">
      <c r="A19" s="17" t="s">
        <v>37</v>
      </c>
      <c r="B19" s="221" t="s">
        <v>113</v>
      </c>
      <c r="C19" s="220"/>
      <c r="D19" s="255"/>
      <c r="E19" s="135"/>
    </row>
    <row r="20" spans="1:5" ht="25.5" customHeight="1">
      <c r="A20" s="17" t="s">
        <v>37</v>
      </c>
      <c r="B20" s="221" t="s">
        <v>114</v>
      </c>
      <c r="C20" s="220"/>
      <c r="D20" s="255"/>
      <c r="E20" s="135"/>
    </row>
    <row r="21" spans="1:5" ht="46.5">
      <c r="A21" s="17">
        <v>2</v>
      </c>
      <c r="B21" s="18" t="s">
        <v>115</v>
      </c>
      <c r="C21" s="220"/>
      <c r="D21" s="255"/>
      <c r="E21" s="135"/>
    </row>
    <row r="22" spans="1:5" ht="26.25" customHeight="1">
      <c r="A22" s="17">
        <v>3</v>
      </c>
      <c r="B22" s="18" t="s">
        <v>116</v>
      </c>
      <c r="C22" s="220"/>
      <c r="D22" s="255"/>
      <c r="E22" s="135"/>
    </row>
    <row r="23" spans="1:5" ht="26.25" customHeight="1">
      <c r="A23" s="15" t="s">
        <v>40</v>
      </c>
      <c r="B23" s="16" t="s">
        <v>53</v>
      </c>
      <c r="C23" s="218">
        <f>'bieu 48 '!C25</f>
        <v>503895</v>
      </c>
      <c r="D23" s="254">
        <f>'bieu 48 '!D25</f>
        <v>560138.458</v>
      </c>
      <c r="E23" s="219">
        <f>D23/C23</f>
        <v>1.111617416326814</v>
      </c>
    </row>
    <row r="24" spans="1:5" ht="26.25" customHeight="1">
      <c r="A24" s="17"/>
      <c r="B24" s="221" t="s">
        <v>117</v>
      </c>
      <c r="C24" s="220"/>
      <c r="D24" s="255"/>
      <c r="E24" s="135"/>
    </row>
    <row r="25" spans="1:5" ht="26.25" customHeight="1">
      <c r="A25" s="17">
        <v>1</v>
      </c>
      <c r="B25" s="221" t="s">
        <v>110</v>
      </c>
      <c r="C25" s="220">
        <v>262.067</v>
      </c>
      <c r="D25" s="255">
        <f>'[1]biểu 62'!$E$32</f>
        <v>256287.26499999998</v>
      </c>
      <c r="E25" s="222">
        <f>D25/C25</f>
        <v>977.9455826181853</v>
      </c>
    </row>
    <row r="26" spans="1:5" ht="26.25" customHeight="1">
      <c r="A26" s="17">
        <v>2</v>
      </c>
      <c r="B26" s="221" t="s">
        <v>118</v>
      </c>
      <c r="C26" s="220">
        <v>30</v>
      </c>
      <c r="D26" s="255">
        <v>30</v>
      </c>
      <c r="E26" s="222">
        <f>D26/C26</f>
        <v>1</v>
      </c>
    </row>
    <row r="27" spans="1:5" ht="26.25" customHeight="1">
      <c r="A27" s="15" t="s">
        <v>44</v>
      </c>
      <c r="B27" s="16" t="s">
        <v>54</v>
      </c>
      <c r="C27" s="220"/>
      <c r="D27" s="255"/>
      <c r="E27" s="135"/>
    </row>
    <row r="28" spans="1:5" ht="26.25" customHeight="1">
      <c r="A28" s="15" t="s">
        <v>46</v>
      </c>
      <c r="B28" s="16" t="s">
        <v>55</v>
      </c>
      <c r="C28" s="220"/>
      <c r="D28" s="255"/>
      <c r="E28" s="135"/>
    </row>
    <row r="29" spans="1:5" s="10" customFormat="1" ht="26.25" customHeight="1">
      <c r="A29" s="15" t="s">
        <v>48</v>
      </c>
      <c r="B29" s="16" t="s">
        <v>56</v>
      </c>
      <c r="C29" s="218">
        <f>'bieu 48 '!C28</f>
        <v>10718</v>
      </c>
      <c r="D29" s="254">
        <f>'bieu 48 '!D28</f>
        <v>4697.93</v>
      </c>
      <c r="E29" s="219">
        <f>D29/C29</f>
        <v>0.43832151520806123</v>
      </c>
    </row>
    <row r="30" spans="1:5" ht="26.25" customHeight="1">
      <c r="A30" s="15" t="s">
        <v>119</v>
      </c>
      <c r="B30" s="16" t="s">
        <v>57</v>
      </c>
      <c r="C30" s="218">
        <f>'bieu 48 '!C29</f>
        <v>6694</v>
      </c>
      <c r="D30" s="255"/>
      <c r="E30" s="135"/>
    </row>
    <row r="31" spans="1:5" ht="26.25" customHeight="1">
      <c r="A31" s="15" t="s">
        <v>159</v>
      </c>
      <c r="B31" s="16" t="s">
        <v>338</v>
      </c>
      <c r="C31" s="218">
        <f>'bieu 48 '!C36</f>
        <v>5000</v>
      </c>
      <c r="D31" s="255"/>
      <c r="E31" s="135"/>
    </row>
    <row r="32" spans="1:5" s="10" customFormat="1" ht="26.25" customHeight="1">
      <c r="A32" s="15" t="s">
        <v>31</v>
      </c>
      <c r="B32" s="16" t="s">
        <v>120</v>
      </c>
      <c r="C32" s="218">
        <f>C33+C37</f>
        <v>116168</v>
      </c>
      <c r="D32" s="254">
        <f>D33+D37</f>
        <v>147991.44</v>
      </c>
      <c r="E32" s="799"/>
    </row>
    <row r="33" spans="1:5" s="10" customFormat="1" ht="26.25" customHeight="1">
      <c r="A33" s="15" t="s">
        <v>35</v>
      </c>
      <c r="B33" s="16" t="s">
        <v>59</v>
      </c>
      <c r="C33" s="218">
        <f>C34+C35+C36</f>
        <v>116168</v>
      </c>
      <c r="D33" s="254">
        <f>'bieu 48 '!D31</f>
        <v>147991.44</v>
      </c>
      <c r="E33" s="799"/>
    </row>
    <row r="34" spans="1:10" ht="26.25" customHeight="1">
      <c r="A34" s="17"/>
      <c r="B34" s="18" t="s">
        <v>339</v>
      </c>
      <c r="C34" s="220">
        <f>10142</f>
        <v>10142</v>
      </c>
      <c r="D34" s="255">
        <v>547.815</v>
      </c>
      <c r="E34" s="135"/>
      <c r="I34" s="2">
        <v>1859</v>
      </c>
      <c r="J34" s="2">
        <f>I34+I35</f>
        <v>27600</v>
      </c>
    </row>
    <row r="35" spans="1:9" ht="26.25" customHeight="1">
      <c r="A35" s="17"/>
      <c r="B35" s="18" t="s">
        <v>340</v>
      </c>
      <c r="C35" s="220">
        <f>19048+3330</f>
        <v>22378</v>
      </c>
      <c r="D35" s="255">
        <v>38306.571903000004</v>
      </c>
      <c r="E35" s="135"/>
      <c r="I35" s="2">
        <v>25741</v>
      </c>
    </row>
    <row r="36" spans="1:5" ht="37.5" customHeight="1">
      <c r="A36" s="17"/>
      <c r="B36" s="18" t="s">
        <v>628</v>
      </c>
      <c r="C36" s="220">
        <f>37503+46145</f>
        <v>83648</v>
      </c>
      <c r="D36" s="255">
        <v>10331.419</v>
      </c>
      <c r="E36" s="135"/>
    </row>
    <row r="37" spans="1:5" ht="26.25" customHeight="1">
      <c r="A37" s="15" t="s">
        <v>40</v>
      </c>
      <c r="B37" s="16" t="s">
        <v>121</v>
      </c>
      <c r="C37" s="220">
        <v>0</v>
      </c>
      <c r="D37" s="254"/>
      <c r="E37" s="135"/>
    </row>
    <row r="38" spans="1:5" ht="26.25" customHeight="1">
      <c r="A38" s="17"/>
      <c r="B38" s="18" t="s">
        <v>122</v>
      </c>
      <c r="C38" s="220">
        <v>0</v>
      </c>
      <c r="D38" s="255"/>
      <c r="E38" s="135"/>
    </row>
    <row r="39" spans="1:5" ht="26.25" customHeight="1">
      <c r="A39" s="15" t="s">
        <v>62</v>
      </c>
      <c r="B39" s="16" t="s">
        <v>123</v>
      </c>
      <c r="C39" s="220"/>
      <c r="D39" s="254">
        <f>'[1]biểu 62'!$E$46</f>
        <v>89091.625</v>
      </c>
      <c r="E39" s="135"/>
    </row>
    <row r="40" spans="1:5" ht="26.25" customHeight="1">
      <c r="A40" s="402" t="s">
        <v>64</v>
      </c>
      <c r="B40" s="403" t="s">
        <v>341</v>
      </c>
      <c r="C40" s="404"/>
      <c r="D40" s="405"/>
      <c r="E40" s="406"/>
    </row>
    <row r="41" spans="1:5" ht="26.25" customHeight="1">
      <c r="A41" s="407" t="s">
        <v>68</v>
      </c>
      <c r="B41" s="408" t="s">
        <v>342</v>
      </c>
      <c r="C41" s="409"/>
      <c r="D41" s="410">
        <f>'bieu 48 '!D35</f>
        <v>9702</v>
      </c>
      <c r="E41" s="411"/>
    </row>
    <row r="42" spans="1:5" ht="39" customHeight="1">
      <c r="A42" s="400" t="s">
        <v>64</v>
      </c>
      <c r="B42" s="401" t="s">
        <v>723</v>
      </c>
      <c r="C42" s="413">
        <f>'[1]biểu 62'!$C$54</f>
        <v>0</v>
      </c>
      <c r="D42" s="442">
        <f>'bieu 50'!E71</f>
        <v>407.2</v>
      </c>
      <c r="E42" s="413"/>
    </row>
  </sheetData>
  <sheetProtection/>
  <mergeCells count="4">
    <mergeCell ref="A3:E3"/>
    <mergeCell ref="A4:E4"/>
    <mergeCell ref="C2:E2"/>
    <mergeCell ref="C1:E1"/>
  </mergeCells>
  <printOptions horizontalCentered="1"/>
  <pageMargins left="0.7874015748031497" right="0.1968503937007874" top="0.5905511811023623" bottom="0.3937007874015748"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L51"/>
  <sheetViews>
    <sheetView zoomScalePageLayoutView="0" workbookViewId="0" topLeftCell="A1">
      <selection activeCell="A4" sqref="A4:F4"/>
    </sheetView>
  </sheetViews>
  <sheetFormatPr defaultColWidth="9.140625" defaultRowHeight="12.75"/>
  <cols>
    <col min="1" max="1" width="4.57421875" style="2" customWidth="1"/>
    <col min="2" max="2" width="53.00390625" style="2" customWidth="1"/>
    <col min="3" max="3" width="9.421875" style="2" customWidth="1"/>
    <col min="4" max="4" width="11.8515625" style="2" customWidth="1"/>
    <col min="5" max="5" width="9.421875" style="2" customWidth="1"/>
    <col min="6" max="6" width="11.421875" style="2" customWidth="1"/>
    <col min="7" max="8" width="0" style="2" hidden="1" customWidth="1"/>
    <col min="9" max="9" width="9.28125" style="2" hidden="1" customWidth="1"/>
    <col min="10" max="10" width="8.57421875" style="2" hidden="1" customWidth="1"/>
    <col min="11" max="11" width="0" style="2" hidden="1" customWidth="1"/>
    <col min="12" max="12" width="15.7109375" style="2" customWidth="1"/>
    <col min="13" max="16384" width="9.140625" style="2" customWidth="1"/>
  </cols>
  <sheetData>
    <row r="1" spans="3:6" ht="15">
      <c r="C1" s="822" t="s">
        <v>124</v>
      </c>
      <c r="D1" s="822"/>
      <c r="E1" s="822"/>
      <c r="F1" s="822"/>
    </row>
    <row r="2" spans="3:6" ht="15">
      <c r="C2" s="806" t="s">
        <v>625</v>
      </c>
      <c r="D2" s="806"/>
      <c r="E2" s="806"/>
      <c r="F2" s="806"/>
    </row>
    <row r="3" spans="1:6" ht="15">
      <c r="A3" s="822" t="s">
        <v>899</v>
      </c>
      <c r="B3" s="822"/>
      <c r="C3" s="822"/>
      <c r="D3" s="822"/>
      <c r="E3" s="822"/>
      <c r="F3" s="822"/>
    </row>
    <row r="4" spans="1:6" ht="15">
      <c r="A4" s="823" t="str">
        <f>'bieu 48 '!A4:F4</f>
        <v>(Kèm theo Báo cáo số 627/BC-UBND ngày 10 tháng 7 năm 2024 của UBND huyện Bắc Sơn)</v>
      </c>
      <c r="B4" s="823"/>
      <c r="C4" s="823"/>
      <c r="D4" s="823"/>
      <c r="E4" s="823"/>
      <c r="F4" s="823"/>
    </row>
    <row r="5" ht="15">
      <c r="F5" s="3" t="s">
        <v>22</v>
      </c>
    </row>
    <row r="6" spans="1:6" s="68" customFormat="1" ht="15">
      <c r="A6" s="824" t="s">
        <v>23</v>
      </c>
      <c r="B6" s="824" t="s">
        <v>75</v>
      </c>
      <c r="C6" s="824" t="s">
        <v>25</v>
      </c>
      <c r="D6" s="824" t="s">
        <v>26</v>
      </c>
      <c r="E6" s="824" t="s">
        <v>27</v>
      </c>
      <c r="F6" s="824"/>
    </row>
    <row r="7" spans="1:6" s="68" customFormat="1" ht="30" customHeight="1">
      <c r="A7" s="824"/>
      <c r="B7" s="824"/>
      <c r="C7" s="824"/>
      <c r="D7" s="824"/>
      <c r="E7" s="256" t="s">
        <v>28</v>
      </c>
      <c r="F7" s="256" t="s">
        <v>29</v>
      </c>
    </row>
    <row r="8" spans="1:6" ht="15">
      <c r="A8" s="257" t="s">
        <v>30</v>
      </c>
      <c r="B8" s="257" t="s">
        <v>31</v>
      </c>
      <c r="C8" s="257">
        <v>1</v>
      </c>
      <c r="D8" s="257">
        <v>2</v>
      </c>
      <c r="E8" s="257" t="s">
        <v>32</v>
      </c>
      <c r="F8" s="257" t="s">
        <v>33</v>
      </c>
    </row>
    <row r="9" spans="1:10" s="10" customFormat="1" ht="24" customHeight="1">
      <c r="A9" s="257"/>
      <c r="B9" s="452" t="s">
        <v>50</v>
      </c>
      <c r="C9" s="453">
        <f>C11</f>
        <v>657082.9999999999</v>
      </c>
      <c r="D9" s="454">
        <f>D11+D48+D49+D50</f>
        <v>848066.6259999998</v>
      </c>
      <c r="E9" s="453">
        <f>D9-C9</f>
        <v>190983.62599999993</v>
      </c>
      <c r="F9" s="455">
        <f>D9/C9</f>
        <v>1.2906537317203457</v>
      </c>
      <c r="G9" s="10">
        <f>878933.22-135463.49</f>
        <v>743469.73</v>
      </c>
      <c r="H9" s="145">
        <f>D9-G9</f>
        <v>104596.89599999983</v>
      </c>
      <c r="I9" s="10">
        <v>630356</v>
      </c>
      <c r="J9" s="145">
        <f>D9-I9</f>
        <v>217710.62599999981</v>
      </c>
    </row>
    <row r="10" spans="1:12" s="10" customFormat="1" ht="46.5" customHeight="1">
      <c r="A10" s="447" t="s">
        <v>30</v>
      </c>
      <c r="B10" s="448" t="s">
        <v>125</v>
      </c>
      <c r="C10" s="449">
        <f>'bieu 49'!C33</f>
        <v>108920.76</v>
      </c>
      <c r="D10" s="450">
        <f>'[3]biểu 60'!$F$12</f>
        <v>135939.384</v>
      </c>
      <c r="E10" s="449">
        <f>D10-C10</f>
        <v>27018.623999999996</v>
      </c>
      <c r="F10" s="451"/>
      <c r="L10" s="292"/>
    </row>
    <row r="11" spans="1:6" s="10" customFormat="1" ht="49.5" customHeight="1">
      <c r="A11" s="258" t="s">
        <v>31</v>
      </c>
      <c r="B11" s="259" t="s">
        <v>409</v>
      </c>
      <c r="C11" s="260">
        <f>C12+C29+C43+C44+C45+C46+C47</f>
        <v>657082.9999999999</v>
      </c>
      <c r="D11" s="261">
        <f>D12+D29+D43+D44+D45+D46+D47</f>
        <v>751175.9029999998</v>
      </c>
      <c r="E11" s="260">
        <f aca="true" t="shared" si="0" ref="E11:E49">D11-C11</f>
        <v>94092.90299999993</v>
      </c>
      <c r="F11" s="262">
        <f>D11/C11</f>
        <v>1.1431978958518176</v>
      </c>
    </row>
    <row r="12" spans="1:6" s="10" customFormat="1" ht="15">
      <c r="A12" s="258" t="s">
        <v>35</v>
      </c>
      <c r="B12" s="259" t="s">
        <v>126</v>
      </c>
      <c r="C12" s="260">
        <f>'[3]biểu 62'!$D$11</f>
        <v>71159</v>
      </c>
      <c r="D12" s="261">
        <f>'[3]biểu 62'!$E$11</f>
        <v>150663.15500000003</v>
      </c>
      <c r="E12" s="260">
        <f t="shared" si="0"/>
        <v>79504.15500000003</v>
      </c>
      <c r="F12" s="262">
        <f>D12/C12</f>
        <v>2.117274764962971</v>
      </c>
    </row>
    <row r="13" spans="1:6" ht="15">
      <c r="A13" s="263">
        <v>1</v>
      </c>
      <c r="B13" s="264" t="s">
        <v>127</v>
      </c>
      <c r="C13" s="265"/>
      <c r="D13" s="266"/>
      <c r="E13" s="265"/>
      <c r="F13" s="267"/>
    </row>
    <row r="14" spans="1:12" ht="15">
      <c r="A14" s="263" t="s">
        <v>37</v>
      </c>
      <c r="B14" s="264" t="s">
        <v>110</v>
      </c>
      <c r="C14" s="265"/>
      <c r="D14" s="266"/>
      <c r="E14" s="265">
        <f t="shared" si="0"/>
        <v>0</v>
      </c>
      <c r="F14" s="267"/>
      <c r="L14" s="33"/>
    </row>
    <row r="15" spans="1:6" ht="15">
      <c r="A15" s="263" t="s">
        <v>37</v>
      </c>
      <c r="B15" s="264" t="s">
        <v>118</v>
      </c>
      <c r="C15" s="265"/>
      <c r="D15" s="266"/>
      <c r="E15" s="265">
        <f t="shared" si="0"/>
        <v>0</v>
      </c>
      <c r="F15" s="267"/>
    </row>
    <row r="16" spans="1:6" ht="15">
      <c r="A16" s="263" t="s">
        <v>37</v>
      </c>
      <c r="B16" s="264" t="s">
        <v>128</v>
      </c>
      <c r="C16" s="265"/>
      <c r="D16" s="266"/>
      <c r="E16" s="265">
        <f t="shared" si="0"/>
        <v>0</v>
      </c>
      <c r="F16" s="267"/>
    </row>
    <row r="17" spans="1:6" ht="15">
      <c r="A17" s="263" t="s">
        <v>37</v>
      </c>
      <c r="B17" s="264" t="s">
        <v>129</v>
      </c>
      <c r="C17" s="265"/>
      <c r="D17" s="266"/>
      <c r="E17" s="265">
        <f t="shared" si="0"/>
        <v>0</v>
      </c>
      <c r="F17" s="267"/>
    </row>
    <row r="18" spans="1:6" ht="23.25" customHeight="1">
      <c r="A18" s="263" t="s">
        <v>37</v>
      </c>
      <c r="B18" s="264" t="s">
        <v>130</v>
      </c>
      <c r="C18" s="265"/>
      <c r="D18" s="266"/>
      <c r="E18" s="265">
        <f t="shared" si="0"/>
        <v>0</v>
      </c>
      <c r="F18" s="267"/>
    </row>
    <row r="19" spans="1:6" ht="15">
      <c r="A19" s="263" t="s">
        <v>37</v>
      </c>
      <c r="B19" s="264" t="s">
        <v>131</v>
      </c>
      <c r="C19" s="265"/>
      <c r="D19" s="266"/>
      <c r="E19" s="265">
        <f t="shared" si="0"/>
        <v>0</v>
      </c>
      <c r="F19" s="267"/>
    </row>
    <row r="20" spans="1:6" ht="15">
      <c r="A20" s="263" t="s">
        <v>37</v>
      </c>
      <c r="B20" s="264" t="s">
        <v>132</v>
      </c>
      <c r="C20" s="265"/>
      <c r="D20" s="266"/>
      <c r="E20" s="265">
        <f t="shared" si="0"/>
        <v>0</v>
      </c>
      <c r="F20" s="267"/>
    </row>
    <row r="21" spans="1:6" ht="15">
      <c r="A21" s="263" t="s">
        <v>37</v>
      </c>
      <c r="B21" s="264" t="s">
        <v>133</v>
      </c>
      <c r="C21" s="265"/>
      <c r="D21" s="266"/>
      <c r="E21" s="265">
        <f t="shared" si="0"/>
        <v>0</v>
      </c>
      <c r="F21" s="267"/>
    </row>
    <row r="22" spans="1:6" ht="15">
      <c r="A22" s="263" t="s">
        <v>37</v>
      </c>
      <c r="B22" s="264" t="s">
        <v>134</v>
      </c>
      <c r="C22" s="265"/>
      <c r="D22" s="266"/>
      <c r="E22" s="265">
        <f t="shared" si="0"/>
        <v>0</v>
      </c>
      <c r="F22" s="267"/>
    </row>
    <row r="23" spans="1:6" ht="15">
      <c r="A23" s="263" t="s">
        <v>37</v>
      </c>
      <c r="B23" s="264" t="s">
        <v>135</v>
      </c>
      <c r="C23" s="265"/>
      <c r="D23" s="266"/>
      <c r="E23" s="265">
        <f t="shared" si="0"/>
        <v>0</v>
      </c>
      <c r="F23" s="267"/>
    </row>
    <row r="24" spans="1:6" ht="15">
      <c r="A24" s="263" t="s">
        <v>37</v>
      </c>
      <c r="B24" s="264" t="s">
        <v>136</v>
      </c>
      <c r="C24" s="265"/>
      <c r="D24" s="266"/>
      <c r="E24" s="265">
        <f t="shared" si="0"/>
        <v>0</v>
      </c>
      <c r="F24" s="267"/>
    </row>
    <row r="25" spans="1:6" ht="15">
      <c r="A25" s="263" t="s">
        <v>37</v>
      </c>
      <c r="B25" s="264" t="s">
        <v>137</v>
      </c>
      <c r="C25" s="265"/>
      <c r="D25" s="266"/>
      <c r="E25" s="265">
        <f t="shared" si="0"/>
        <v>0</v>
      </c>
      <c r="F25" s="267"/>
    </row>
    <row r="26" spans="1:6" ht="15">
      <c r="A26" s="263" t="s">
        <v>37</v>
      </c>
      <c r="B26" s="264" t="s">
        <v>138</v>
      </c>
      <c r="C26" s="265"/>
      <c r="D26" s="266"/>
      <c r="E26" s="265">
        <f t="shared" si="0"/>
        <v>0</v>
      </c>
      <c r="F26" s="267"/>
    </row>
    <row r="27" spans="1:6" ht="79.5" customHeight="1">
      <c r="A27" s="263">
        <v>2</v>
      </c>
      <c r="B27" s="264" t="s">
        <v>115</v>
      </c>
      <c r="C27" s="265"/>
      <c r="D27" s="266"/>
      <c r="E27" s="265">
        <f t="shared" si="0"/>
        <v>0</v>
      </c>
      <c r="F27" s="267"/>
    </row>
    <row r="28" spans="1:6" ht="15">
      <c r="A28" s="263">
        <v>3</v>
      </c>
      <c r="B28" s="264" t="s">
        <v>116</v>
      </c>
      <c r="C28" s="265"/>
      <c r="D28" s="266"/>
      <c r="E28" s="265">
        <f t="shared" si="0"/>
        <v>0</v>
      </c>
      <c r="F28" s="267"/>
    </row>
    <row r="29" spans="1:6" s="10" customFormat="1" ht="15">
      <c r="A29" s="258" t="s">
        <v>40</v>
      </c>
      <c r="B29" s="259" t="s">
        <v>53</v>
      </c>
      <c r="C29" s="260">
        <f>SUM(C30:C42)</f>
        <v>563511.9999999999</v>
      </c>
      <c r="D29" s="261">
        <f>SUM(D30:D42)</f>
        <v>600512.7479999998</v>
      </c>
      <c r="E29" s="260">
        <f t="shared" si="0"/>
        <v>37000.747999999905</v>
      </c>
      <c r="F29" s="262">
        <f aca="true" t="shared" si="1" ref="F29:F42">D29/C29</f>
        <v>1.0656609761637728</v>
      </c>
    </row>
    <row r="30" spans="1:6" ht="15">
      <c r="A30" s="263" t="s">
        <v>37</v>
      </c>
      <c r="B30" s="264" t="s">
        <v>110</v>
      </c>
      <c r="C30" s="265">
        <f>'[3]biểu 62'!$C$32</f>
        <v>271842.76</v>
      </c>
      <c r="D30" s="266">
        <f>'[3]biểu 62'!$E$32</f>
        <v>284802.002</v>
      </c>
      <c r="E30" s="265">
        <f t="shared" si="0"/>
        <v>12959.24199999997</v>
      </c>
      <c r="F30" s="267">
        <f t="shared" si="1"/>
        <v>1.0476718305832384</v>
      </c>
    </row>
    <row r="31" spans="1:6" ht="15">
      <c r="A31" s="263" t="s">
        <v>37</v>
      </c>
      <c r="B31" s="264" t="s">
        <v>139</v>
      </c>
      <c r="C31" s="265">
        <v>30</v>
      </c>
      <c r="D31" s="266">
        <f>'[3]biểu 62'!$E$33</f>
        <v>35.04</v>
      </c>
      <c r="E31" s="265">
        <f t="shared" si="0"/>
        <v>5.039999999999999</v>
      </c>
      <c r="F31" s="267">
        <f t="shared" si="1"/>
        <v>1.168</v>
      </c>
    </row>
    <row r="32" spans="1:6" ht="15">
      <c r="A32" s="263" t="s">
        <v>37</v>
      </c>
      <c r="B32" s="264" t="s">
        <v>128</v>
      </c>
      <c r="C32" s="265">
        <f>'[3]biểu 62'!$C$30</f>
        <v>7982.48</v>
      </c>
      <c r="D32" s="266">
        <f>'[3]biểu 62'!$E$30</f>
        <v>10174.888</v>
      </c>
      <c r="E32" s="265">
        <f t="shared" si="0"/>
        <v>2192.4080000000013</v>
      </c>
      <c r="F32" s="267">
        <f t="shared" si="1"/>
        <v>1.2746524889508024</v>
      </c>
    </row>
    <row r="33" spans="1:6" ht="15">
      <c r="A33" s="263" t="s">
        <v>37</v>
      </c>
      <c r="B33" s="264" t="s">
        <v>129</v>
      </c>
      <c r="C33" s="265">
        <f>'[3]biểu 62'!$C$31</f>
        <v>2798.98</v>
      </c>
      <c r="D33" s="266">
        <f>'[3]biểu 62'!$E$31</f>
        <v>4961.543</v>
      </c>
      <c r="E33" s="265">
        <f t="shared" si="0"/>
        <v>2162.5629999999996</v>
      </c>
      <c r="F33" s="267">
        <f t="shared" si="1"/>
        <v>1.7726253849616644</v>
      </c>
    </row>
    <row r="34" spans="1:6" ht="15">
      <c r="A34" s="263" t="s">
        <v>37</v>
      </c>
      <c r="B34" s="264" t="s">
        <v>130</v>
      </c>
      <c r="C34" s="265">
        <f>'[3]biểu 62'!$C$34</f>
        <v>53918.2</v>
      </c>
      <c r="D34" s="266">
        <f>'[3]biểu 62'!$E$34</f>
        <v>66909.53899999999</v>
      </c>
      <c r="E34" s="265">
        <f t="shared" si="0"/>
        <v>12991.338999999993</v>
      </c>
      <c r="F34" s="267">
        <f t="shared" si="1"/>
        <v>1.2409453394215681</v>
      </c>
    </row>
    <row r="35" spans="1:6" ht="15">
      <c r="A35" s="263" t="s">
        <v>37</v>
      </c>
      <c r="B35" s="264" t="s">
        <v>131</v>
      </c>
      <c r="C35" s="265">
        <f>'[3]biểu 62'!$C$35</f>
        <v>6858.6</v>
      </c>
      <c r="D35" s="266">
        <f>'[3]biểu 62'!$E$35</f>
        <v>8523.452000000001</v>
      </c>
      <c r="E35" s="265">
        <f t="shared" si="0"/>
        <v>1664.8520000000008</v>
      </c>
      <c r="F35" s="267">
        <f t="shared" si="1"/>
        <v>1.2427393345580733</v>
      </c>
    </row>
    <row r="36" spans="1:6" ht="15">
      <c r="A36" s="263" t="s">
        <v>37</v>
      </c>
      <c r="B36" s="264" t="s">
        <v>132</v>
      </c>
      <c r="C36" s="265">
        <f>'[3]biểu 62'!$C$36</f>
        <v>1686</v>
      </c>
      <c r="D36" s="266">
        <f>'[3]biểu 62'!$E$36</f>
        <v>1079.161</v>
      </c>
      <c r="E36" s="265"/>
      <c r="F36" s="267"/>
    </row>
    <row r="37" spans="1:6" ht="15">
      <c r="A37" s="263" t="s">
        <v>37</v>
      </c>
      <c r="B37" s="264" t="s">
        <v>133</v>
      </c>
      <c r="C37" s="265">
        <f>'[3]biểu 62'!$C$37</f>
        <v>1890.6100000000001</v>
      </c>
      <c r="D37" s="266">
        <f>'[3]biểu 62'!$E$37</f>
        <v>1759.413</v>
      </c>
      <c r="E37" s="265">
        <f t="shared" si="0"/>
        <v>-131.19700000000012</v>
      </c>
      <c r="F37" s="267">
        <f t="shared" si="1"/>
        <v>0.930605994890538</v>
      </c>
    </row>
    <row r="38" spans="1:6" ht="15">
      <c r="A38" s="263" t="s">
        <v>37</v>
      </c>
      <c r="B38" s="264" t="s">
        <v>134</v>
      </c>
      <c r="C38" s="265">
        <f>'[3]biểu 62'!$C$38</f>
        <v>2702</v>
      </c>
      <c r="D38" s="266">
        <f>'[3]biểu 62'!$E$38</f>
        <v>3097.774</v>
      </c>
      <c r="E38" s="265">
        <f t="shared" si="0"/>
        <v>395.7739999999999</v>
      </c>
      <c r="F38" s="267">
        <f t="shared" si="1"/>
        <v>1.1464744633604738</v>
      </c>
    </row>
    <row r="39" spans="1:6" ht="15">
      <c r="A39" s="263" t="s">
        <v>37</v>
      </c>
      <c r="B39" s="264" t="s">
        <v>135</v>
      </c>
      <c r="C39" s="265">
        <f>'[3]biểu 62'!$C$39</f>
        <v>81682.01000000001</v>
      </c>
      <c r="D39" s="266">
        <f>'[3]biểu 62'!$E$39</f>
        <v>77436.034</v>
      </c>
      <c r="E39" s="265">
        <f t="shared" si="0"/>
        <v>-4245.97600000001</v>
      </c>
      <c r="F39" s="267">
        <f t="shared" si="1"/>
        <v>0.9480182233517513</v>
      </c>
    </row>
    <row r="40" spans="1:6" ht="15">
      <c r="A40" s="263" t="s">
        <v>37</v>
      </c>
      <c r="B40" s="264" t="s">
        <v>136</v>
      </c>
      <c r="C40" s="265">
        <f>'[3]biểu 62'!$C$40</f>
        <v>102038.67</v>
      </c>
      <c r="D40" s="266">
        <f>'[3]biểu 62'!$E$40</f>
        <v>115084.484</v>
      </c>
      <c r="E40" s="265">
        <f t="shared" si="0"/>
        <v>13045.813999999998</v>
      </c>
      <c r="F40" s="267">
        <f t="shared" si="1"/>
        <v>1.1278516664319518</v>
      </c>
    </row>
    <row r="41" spans="1:6" ht="15">
      <c r="A41" s="263" t="s">
        <v>37</v>
      </c>
      <c r="B41" s="264" t="s">
        <v>137</v>
      </c>
      <c r="C41" s="265">
        <f>'[3]biểu 62'!$C$41</f>
        <v>28751</v>
      </c>
      <c r="D41" s="266">
        <f>'[3]biểu 62'!$E$41</f>
        <v>24061.426000000003</v>
      </c>
      <c r="E41" s="265">
        <f t="shared" si="0"/>
        <v>-4689.573999999997</v>
      </c>
      <c r="F41" s="267">
        <f t="shared" si="1"/>
        <v>0.8368900559980523</v>
      </c>
    </row>
    <row r="42" spans="1:6" ht="15">
      <c r="A42" s="263" t="s">
        <v>37</v>
      </c>
      <c r="B42" s="264" t="s">
        <v>140</v>
      </c>
      <c r="C42" s="265">
        <f>'[3]biểu 62'!$C$42</f>
        <v>1330.69</v>
      </c>
      <c r="D42" s="266">
        <f>'[3]biểu 62'!$E$42</f>
        <v>2587.992</v>
      </c>
      <c r="E42" s="265">
        <f t="shared" si="0"/>
        <v>1257.3020000000001</v>
      </c>
      <c r="F42" s="267">
        <f t="shared" si="1"/>
        <v>1.9448496644597917</v>
      </c>
    </row>
    <row r="43" spans="1:6" s="10" customFormat="1" ht="41.25" customHeight="1">
      <c r="A43" s="258" t="s">
        <v>44</v>
      </c>
      <c r="B43" s="259" t="s">
        <v>141</v>
      </c>
      <c r="C43" s="260"/>
      <c r="D43" s="261"/>
      <c r="E43" s="260"/>
      <c r="F43" s="262"/>
    </row>
    <row r="44" spans="1:6" s="10" customFormat="1" ht="26.25" customHeight="1">
      <c r="A44" s="258" t="s">
        <v>46</v>
      </c>
      <c r="B44" s="259" t="s">
        <v>142</v>
      </c>
      <c r="C44" s="260"/>
      <c r="D44" s="261"/>
      <c r="E44" s="260"/>
      <c r="F44" s="262"/>
    </row>
    <row r="45" spans="1:6" s="10" customFormat="1" ht="15">
      <c r="A45" s="258" t="s">
        <v>48</v>
      </c>
      <c r="B45" s="259" t="s">
        <v>56</v>
      </c>
      <c r="C45" s="260">
        <f>'[3]biểu 62'!$C$43</f>
        <v>10718</v>
      </c>
      <c r="D45" s="261"/>
      <c r="E45" s="260"/>
      <c r="F45" s="262"/>
    </row>
    <row r="46" spans="1:6" s="10" customFormat="1" ht="27" customHeight="1">
      <c r="A46" s="258" t="s">
        <v>119</v>
      </c>
      <c r="B46" s="259" t="s">
        <v>57</v>
      </c>
      <c r="C46" s="260">
        <f>'[3]biểu 62'!$C$47</f>
        <v>6694</v>
      </c>
      <c r="D46" s="261"/>
      <c r="E46" s="260"/>
      <c r="F46" s="262"/>
    </row>
    <row r="47" spans="1:6" s="10" customFormat="1" ht="27" customHeight="1">
      <c r="A47" s="258" t="s">
        <v>159</v>
      </c>
      <c r="B47" s="259" t="s">
        <v>338</v>
      </c>
      <c r="C47" s="260">
        <f>'[3]biểu 62'!$D$44</f>
        <v>5000</v>
      </c>
      <c r="D47" s="261"/>
      <c r="E47" s="260"/>
      <c r="F47" s="262"/>
    </row>
    <row r="48" spans="1:6" s="10" customFormat="1" ht="36.75" customHeight="1">
      <c r="A48" s="258" t="s">
        <v>62</v>
      </c>
      <c r="B48" s="259" t="s">
        <v>123</v>
      </c>
      <c r="C48" s="260"/>
      <c r="D48" s="261">
        <f>'[3]biểu 62'!$E$46</f>
        <v>86781.523</v>
      </c>
      <c r="E48" s="260">
        <f t="shared" si="0"/>
        <v>86781.523</v>
      </c>
      <c r="F48" s="262"/>
    </row>
    <row r="49" spans="1:6" s="10" customFormat="1" ht="36.75" customHeight="1">
      <c r="A49" s="258" t="s">
        <v>64</v>
      </c>
      <c r="B49" s="259" t="s">
        <v>342</v>
      </c>
      <c r="C49" s="260"/>
      <c r="D49" s="261">
        <f>'[3]biểu 62'!$E$54</f>
        <v>9702</v>
      </c>
      <c r="E49" s="260">
        <f t="shared" si="0"/>
        <v>9702</v>
      </c>
      <c r="F49" s="262"/>
    </row>
    <row r="50" spans="1:6" s="5" customFormat="1" ht="32.25" customHeight="1">
      <c r="A50" s="401" t="s">
        <v>629</v>
      </c>
      <c r="B50" s="401" t="s">
        <v>723</v>
      </c>
      <c r="C50" s="413">
        <f>'[1]biểu 62'!$C$54</f>
        <v>0</v>
      </c>
      <c r="D50" s="442">
        <f>'bieu 48 '!D37</f>
        <v>407.2</v>
      </c>
      <c r="E50" s="413"/>
      <c r="F50" s="412"/>
    </row>
    <row r="51" spans="1:6" ht="36" customHeight="1">
      <c r="A51" s="825"/>
      <c r="B51" s="826"/>
      <c r="C51" s="826"/>
      <c r="D51" s="826"/>
      <c r="E51" s="826"/>
      <c r="F51" s="826"/>
    </row>
  </sheetData>
  <sheetProtection/>
  <mergeCells count="10">
    <mergeCell ref="C2:F2"/>
    <mergeCell ref="C1:F1"/>
    <mergeCell ref="E6:F6"/>
    <mergeCell ref="A3:F3"/>
    <mergeCell ref="A4:F4"/>
    <mergeCell ref="A51:F51"/>
    <mergeCell ref="A6:A7"/>
    <mergeCell ref="B6:B7"/>
    <mergeCell ref="C6:C7"/>
    <mergeCell ref="D6:D7"/>
  </mergeCells>
  <printOptions horizontalCentered="1"/>
  <pageMargins left="0.7874015748031497" right="0.1968503937007874" top="0.5905511811023623" bottom="0.3937007874015748" header="0.1968503937007874" footer="0.196850393700787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M44"/>
  <sheetViews>
    <sheetView zoomScalePageLayoutView="0" workbookViewId="0" topLeftCell="A1">
      <selection activeCell="A4" sqref="A4:K4"/>
    </sheetView>
  </sheetViews>
  <sheetFormatPr defaultColWidth="9.140625" defaultRowHeight="12.75"/>
  <cols>
    <col min="1" max="1" width="4.7109375" style="1" customWidth="1"/>
    <col min="2" max="2" width="48.8515625" style="1" customWidth="1"/>
    <col min="3" max="5" width="9.00390625" style="34" customWidth="1"/>
    <col min="6" max="7" width="12.140625" style="34" customWidth="1"/>
    <col min="8" max="8" width="11.28125" style="34" customWidth="1"/>
    <col min="9" max="9" width="10.57421875" style="1" customWidth="1"/>
    <col min="10" max="10" width="10.421875" style="1" customWidth="1"/>
    <col min="11" max="11" width="10.00390625" style="1" customWidth="1"/>
    <col min="12" max="16384" width="9.140625" style="1" customWidth="1"/>
  </cols>
  <sheetData>
    <row r="1" spans="2:11" ht="15">
      <c r="B1" s="2"/>
      <c r="C1" s="33"/>
      <c r="D1" s="33"/>
      <c r="E1" s="33"/>
      <c r="F1" s="33"/>
      <c r="G1" s="33"/>
      <c r="H1" s="828" t="s">
        <v>143</v>
      </c>
      <c r="I1" s="828"/>
      <c r="J1" s="828"/>
      <c r="K1" s="828"/>
    </row>
    <row r="2" spans="2:11" ht="15">
      <c r="B2" s="2"/>
      <c r="C2" s="33"/>
      <c r="D2" s="33"/>
      <c r="E2" s="33"/>
      <c r="F2" s="33"/>
      <c r="G2" s="33"/>
      <c r="H2" s="806" t="s">
        <v>625</v>
      </c>
      <c r="I2" s="806"/>
      <c r="J2" s="806"/>
      <c r="K2" s="806"/>
    </row>
    <row r="3" spans="1:11" ht="34.5" customHeight="1">
      <c r="A3" s="830" t="s">
        <v>900</v>
      </c>
      <c r="B3" s="828"/>
      <c r="C3" s="828"/>
      <c r="D3" s="828"/>
      <c r="E3" s="828"/>
      <c r="F3" s="828"/>
      <c r="G3" s="828"/>
      <c r="H3" s="828"/>
      <c r="I3" s="828"/>
      <c r="J3" s="828"/>
      <c r="K3" s="828"/>
    </row>
    <row r="4" spans="1:11" ht="15">
      <c r="A4" s="831" t="str">
        <f>'bieu 48 '!A4:F4</f>
        <v>(Kèm theo Báo cáo số 627/BC-UBND ngày 10 tháng 7 năm 2024 của UBND huyện Bắc Sơn)</v>
      </c>
      <c r="B4" s="831"/>
      <c r="C4" s="831"/>
      <c r="D4" s="831"/>
      <c r="E4" s="831"/>
      <c r="F4" s="831"/>
      <c r="G4" s="831"/>
      <c r="H4" s="831"/>
      <c r="I4" s="831"/>
      <c r="J4" s="831"/>
      <c r="K4" s="831"/>
    </row>
    <row r="5" spans="2:11" ht="15">
      <c r="B5" s="2"/>
      <c r="C5" s="33"/>
      <c r="D5" s="33"/>
      <c r="E5" s="33"/>
      <c r="F5" s="33"/>
      <c r="G5" s="33"/>
      <c r="H5" s="33"/>
      <c r="I5" s="2"/>
      <c r="J5" s="2"/>
      <c r="K5" s="28" t="s">
        <v>22</v>
      </c>
    </row>
    <row r="6" spans="1:11" s="69" customFormat="1" ht="13.5">
      <c r="A6" s="829" t="s">
        <v>23</v>
      </c>
      <c r="B6" s="829" t="s">
        <v>24</v>
      </c>
      <c r="C6" s="827" t="s">
        <v>481</v>
      </c>
      <c r="D6" s="827" t="s">
        <v>144</v>
      </c>
      <c r="E6" s="827"/>
      <c r="F6" s="827" t="s">
        <v>26</v>
      </c>
      <c r="G6" s="827" t="s">
        <v>144</v>
      </c>
      <c r="H6" s="827"/>
      <c r="I6" s="829" t="s">
        <v>76</v>
      </c>
      <c r="J6" s="829"/>
      <c r="K6" s="829"/>
    </row>
    <row r="7" spans="1:11" s="69" customFormat="1" ht="42">
      <c r="A7" s="829"/>
      <c r="B7" s="829"/>
      <c r="C7" s="827"/>
      <c r="D7" s="269" t="s">
        <v>419</v>
      </c>
      <c r="E7" s="269" t="s">
        <v>420</v>
      </c>
      <c r="F7" s="827"/>
      <c r="G7" s="269" t="s">
        <v>419</v>
      </c>
      <c r="H7" s="269" t="s">
        <v>420</v>
      </c>
      <c r="I7" s="268" t="s">
        <v>145</v>
      </c>
      <c r="J7" s="268" t="s">
        <v>419</v>
      </c>
      <c r="K7" s="268" t="s">
        <v>420</v>
      </c>
    </row>
    <row r="8" spans="1:11" ht="13.5">
      <c r="A8" s="270" t="s">
        <v>30</v>
      </c>
      <c r="B8" s="270" t="s">
        <v>31</v>
      </c>
      <c r="C8" s="271" t="s">
        <v>146</v>
      </c>
      <c r="D8" s="271">
        <v>2</v>
      </c>
      <c r="E8" s="271">
        <v>3</v>
      </c>
      <c r="F8" s="271" t="s">
        <v>147</v>
      </c>
      <c r="G8" s="271">
        <v>5</v>
      </c>
      <c r="H8" s="271">
        <v>6</v>
      </c>
      <c r="I8" s="270" t="s">
        <v>148</v>
      </c>
      <c r="J8" s="270" t="s">
        <v>149</v>
      </c>
      <c r="K8" s="270" t="s">
        <v>150</v>
      </c>
    </row>
    <row r="9" spans="1:13" s="6" customFormat="1" ht="27" customHeight="1">
      <c r="A9" s="272"/>
      <c r="B9" s="273" t="s">
        <v>50</v>
      </c>
      <c r="C9" s="274">
        <f>C10+C34+C41+C42</f>
        <v>599010.9999999999</v>
      </c>
      <c r="D9" s="274">
        <f>D10+D34+D41+D42</f>
        <v>446352.5540000001</v>
      </c>
      <c r="E9" s="274">
        <f>E10+E34+E41+E42</f>
        <v>84642.45</v>
      </c>
      <c r="F9" s="275">
        <f>F10+F34+F41+F42+F43</f>
        <v>848066.628</v>
      </c>
      <c r="G9" s="275">
        <f>G10+G34+G41+G42+G43</f>
        <v>681582.288</v>
      </c>
      <c r="H9" s="275">
        <f>H10+H34+H41+H42+H43</f>
        <v>166484.34</v>
      </c>
      <c r="I9" s="276">
        <f aca="true" t="shared" si="0" ref="I9:K10">F9/C9</f>
        <v>1.4157780541592728</v>
      </c>
      <c r="J9" s="276">
        <f t="shared" si="0"/>
        <v>1.5270043419534232</v>
      </c>
      <c r="K9" s="276">
        <f t="shared" si="0"/>
        <v>1.9669130560374848</v>
      </c>
      <c r="M9" s="290"/>
    </row>
    <row r="10" spans="1:11" s="6" customFormat="1" ht="27" customHeight="1">
      <c r="A10" s="277" t="s">
        <v>30</v>
      </c>
      <c r="B10" s="278" t="s">
        <v>151</v>
      </c>
      <c r="C10" s="279">
        <f aca="true" t="shared" si="1" ref="C10:H10">C11+C25+C29+C30+C31+C32+C33</f>
        <v>599010.9999999999</v>
      </c>
      <c r="D10" s="279">
        <f t="shared" si="1"/>
        <v>446352.5540000001</v>
      </c>
      <c r="E10" s="279">
        <f t="shared" si="1"/>
        <v>84642.45</v>
      </c>
      <c r="F10" s="280">
        <f t="shared" si="1"/>
        <v>603184.4650000001</v>
      </c>
      <c r="G10" s="280">
        <f t="shared" si="1"/>
        <v>506739.336</v>
      </c>
      <c r="H10" s="280">
        <f t="shared" si="1"/>
        <v>96445.12899999999</v>
      </c>
      <c r="I10" s="281">
        <f t="shared" si="0"/>
        <v>1.006967259365855</v>
      </c>
      <c r="J10" s="281">
        <f t="shared" si="0"/>
        <v>1.1352894286340296</v>
      </c>
      <c r="K10" s="281">
        <f t="shared" si="0"/>
        <v>1.1394416040650996</v>
      </c>
    </row>
    <row r="11" spans="1:11" s="6" customFormat="1" ht="27" customHeight="1">
      <c r="A11" s="277" t="s">
        <v>35</v>
      </c>
      <c r="B11" s="278" t="s">
        <v>52</v>
      </c>
      <c r="C11" s="279">
        <f>D11+E11</f>
        <v>13087</v>
      </c>
      <c r="D11" s="279">
        <v>13087</v>
      </c>
      <c r="E11" s="279"/>
      <c r="F11" s="280">
        <f>G11+H11</f>
        <v>38348.077</v>
      </c>
      <c r="G11" s="280">
        <f>138433.384-53794.418-1422.5-15244.843-1669-29845.2</f>
        <v>36457.422999999995</v>
      </c>
      <c r="H11" s="280">
        <f>12229.771-434.32-7284.568-2620.229</f>
        <v>1890.654000000001</v>
      </c>
      <c r="I11" s="281">
        <f>F11/C11</f>
        <v>2.9302419958737675</v>
      </c>
      <c r="J11" s="281">
        <f>G11/D11</f>
        <v>2.785773897761137</v>
      </c>
      <c r="K11" s="281"/>
    </row>
    <row r="12" spans="1:11" ht="18.75" customHeight="1">
      <c r="A12" s="107">
        <v>1</v>
      </c>
      <c r="B12" s="282" t="s">
        <v>127</v>
      </c>
      <c r="C12" s="283">
        <f aca="true" t="shared" si="2" ref="C12:C42">D12+E12</f>
        <v>0</v>
      </c>
      <c r="D12" s="283"/>
      <c r="E12" s="283"/>
      <c r="F12" s="284">
        <f>G12+H12</f>
        <v>0</v>
      </c>
      <c r="G12" s="284"/>
      <c r="H12" s="284"/>
      <c r="I12" s="285"/>
      <c r="J12" s="285"/>
      <c r="K12" s="285"/>
    </row>
    <row r="13" spans="1:11" ht="18.75" customHeight="1">
      <c r="A13" s="107"/>
      <c r="B13" s="286" t="s">
        <v>109</v>
      </c>
      <c r="C13" s="283">
        <f t="shared" si="2"/>
        <v>0</v>
      </c>
      <c r="D13" s="283"/>
      <c r="E13" s="283"/>
      <c r="F13" s="284">
        <f aca="true" t="shared" si="3" ref="F13:F43">G13+H13</f>
        <v>0</v>
      </c>
      <c r="G13" s="284"/>
      <c r="H13" s="284"/>
      <c r="I13" s="285"/>
      <c r="J13" s="285"/>
      <c r="K13" s="285"/>
    </row>
    <row r="14" spans="1:11" ht="18.75" customHeight="1">
      <c r="A14" s="107" t="s">
        <v>37</v>
      </c>
      <c r="B14" s="286" t="s">
        <v>110</v>
      </c>
      <c r="C14" s="283">
        <f t="shared" si="2"/>
        <v>0</v>
      </c>
      <c r="D14" s="283"/>
      <c r="E14" s="283"/>
      <c r="F14" s="284">
        <f t="shared" si="3"/>
        <v>0</v>
      </c>
      <c r="G14" s="284"/>
      <c r="H14" s="284"/>
      <c r="I14" s="285"/>
      <c r="J14" s="285"/>
      <c r="K14" s="285"/>
    </row>
    <row r="15" spans="1:11" ht="18.75" customHeight="1">
      <c r="A15" s="107" t="s">
        <v>37</v>
      </c>
      <c r="B15" s="286" t="s">
        <v>416</v>
      </c>
      <c r="C15" s="283">
        <f t="shared" si="2"/>
        <v>0</v>
      </c>
      <c r="D15" s="283"/>
      <c r="E15" s="283"/>
      <c r="F15" s="284">
        <f t="shared" si="3"/>
        <v>0</v>
      </c>
      <c r="G15" s="284"/>
      <c r="H15" s="284"/>
      <c r="I15" s="285"/>
      <c r="J15" s="285"/>
      <c r="K15" s="285"/>
    </row>
    <row r="16" spans="1:11" ht="13.5">
      <c r="A16" s="107" t="s">
        <v>412</v>
      </c>
      <c r="B16" s="286" t="s">
        <v>630</v>
      </c>
      <c r="C16" s="283">
        <f t="shared" si="2"/>
        <v>0</v>
      </c>
      <c r="D16" s="283"/>
      <c r="E16" s="283"/>
      <c r="F16" s="284">
        <f t="shared" si="3"/>
        <v>0</v>
      </c>
      <c r="G16" s="284"/>
      <c r="H16" s="284"/>
      <c r="I16" s="285"/>
      <c r="J16" s="285"/>
      <c r="K16" s="285"/>
    </row>
    <row r="17" spans="1:11" ht="20.25" customHeight="1">
      <c r="A17" s="107" t="s">
        <v>412</v>
      </c>
      <c r="B17" s="286" t="s">
        <v>631</v>
      </c>
      <c r="C17" s="283">
        <f t="shared" si="2"/>
        <v>0</v>
      </c>
      <c r="D17" s="283"/>
      <c r="E17" s="283"/>
      <c r="F17" s="284">
        <f t="shared" si="3"/>
        <v>0</v>
      </c>
      <c r="G17" s="284"/>
      <c r="H17" s="284"/>
      <c r="I17" s="285"/>
      <c r="J17" s="285"/>
      <c r="K17" s="285"/>
    </row>
    <row r="18" spans="1:11" ht="20.25" customHeight="1">
      <c r="A18" s="107" t="s">
        <v>412</v>
      </c>
      <c r="B18" s="415" t="s">
        <v>129</v>
      </c>
      <c r="C18" s="283">
        <f t="shared" si="2"/>
        <v>0</v>
      </c>
      <c r="D18" s="283"/>
      <c r="E18" s="283"/>
      <c r="F18" s="284">
        <f t="shared" si="3"/>
        <v>0</v>
      </c>
      <c r="G18" s="284"/>
      <c r="H18" s="284"/>
      <c r="I18" s="285"/>
      <c r="J18" s="285"/>
      <c r="K18" s="285"/>
    </row>
    <row r="19" spans="1:11" ht="20.25" customHeight="1">
      <c r="A19" s="107"/>
      <c r="B19" s="286" t="s">
        <v>112</v>
      </c>
      <c r="C19" s="283">
        <f t="shared" si="2"/>
        <v>0</v>
      </c>
      <c r="D19" s="283"/>
      <c r="E19" s="283"/>
      <c r="F19" s="284">
        <f t="shared" si="3"/>
        <v>0</v>
      </c>
      <c r="G19" s="284"/>
      <c r="H19" s="284"/>
      <c r="I19" s="285"/>
      <c r="J19" s="285"/>
      <c r="K19" s="285"/>
    </row>
    <row r="20" spans="1:11" ht="23.25" customHeight="1" hidden="1">
      <c r="A20" s="107"/>
      <c r="B20" s="19" t="s">
        <v>417</v>
      </c>
      <c r="C20" s="283">
        <f t="shared" si="2"/>
        <v>0</v>
      </c>
      <c r="D20" s="283"/>
      <c r="E20" s="283"/>
      <c r="F20" s="284">
        <f t="shared" si="3"/>
        <v>0</v>
      </c>
      <c r="G20" s="284"/>
      <c r="H20" s="284"/>
      <c r="I20" s="285"/>
      <c r="J20" s="285"/>
      <c r="K20" s="285"/>
    </row>
    <row r="21" spans="1:11" ht="31.5" customHeight="1" hidden="1">
      <c r="A21" s="107"/>
      <c r="B21" s="20" t="s">
        <v>418</v>
      </c>
      <c r="C21" s="283">
        <f t="shared" si="2"/>
        <v>0</v>
      </c>
      <c r="D21" s="283"/>
      <c r="E21" s="283"/>
      <c r="F21" s="284">
        <f t="shared" si="3"/>
        <v>0</v>
      </c>
      <c r="G21" s="284"/>
      <c r="H21" s="284"/>
      <c r="I21" s="285"/>
      <c r="J21" s="285"/>
      <c r="K21" s="285"/>
    </row>
    <row r="22" spans="1:11" ht="21" customHeight="1">
      <c r="A22" s="107"/>
      <c r="B22" s="19" t="s">
        <v>113</v>
      </c>
      <c r="C22" s="283">
        <f t="shared" si="2"/>
        <v>0</v>
      </c>
      <c r="D22" s="283"/>
      <c r="E22" s="283"/>
      <c r="F22" s="284">
        <f t="shared" si="3"/>
        <v>0</v>
      </c>
      <c r="G22" s="284"/>
      <c r="H22" s="284"/>
      <c r="I22" s="285"/>
      <c r="J22" s="285"/>
      <c r="K22" s="285"/>
    </row>
    <row r="23" spans="1:11" ht="55.5">
      <c r="A23" s="107">
        <v>2</v>
      </c>
      <c r="B23" s="282" t="s">
        <v>115</v>
      </c>
      <c r="C23" s="283">
        <f t="shared" si="2"/>
        <v>0</v>
      </c>
      <c r="D23" s="283"/>
      <c r="E23" s="283"/>
      <c r="F23" s="284">
        <f t="shared" si="3"/>
        <v>0</v>
      </c>
      <c r="G23" s="284"/>
      <c r="H23" s="284"/>
      <c r="I23" s="285"/>
      <c r="J23" s="285"/>
      <c r="K23" s="285"/>
    </row>
    <row r="24" spans="1:11" ht="23.25" customHeight="1">
      <c r="A24" s="107">
        <v>3</v>
      </c>
      <c r="B24" s="282" t="s">
        <v>116</v>
      </c>
      <c r="C24" s="283">
        <f t="shared" si="2"/>
        <v>0</v>
      </c>
      <c r="D24" s="283"/>
      <c r="E24" s="283"/>
      <c r="F24" s="284">
        <f t="shared" si="3"/>
        <v>0</v>
      </c>
      <c r="G24" s="284"/>
      <c r="H24" s="284"/>
      <c r="I24" s="285"/>
      <c r="J24" s="285"/>
      <c r="K24" s="285"/>
    </row>
    <row r="25" spans="1:11" s="6" customFormat="1" ht="23.25" customHeight="1">
      <c r="A25" s="277" t="s">
        <v>40</v>
      </c>
      <c r="B25" s="278" t="s">
        <v>53</v>
      </c>
      <c r="C25" s="279">
        <f>'bieu 52'!C29</f>
        <v>563511.9999999999</v>
      </c>
      <c r="D25" s="279">
        <v>413393.7140000001</v>
      </c>
      <c r="E25" s="279">
        <v>82102.29</v>
      </c>
      <c r="F25" s="280">
        <f>G25+H25</f>
        <v>560138.463</v>
      </c>
      <c r="G25" s="280">
        <f>481151.473-10869.56-3816.514</f>
        <v>466465.399</v>
      </c>
      <c r="H25" s="280">
        <f>119361.275-24806.8-881.411</f>
        <v>93673.064</v>
      </c>
      <c r="I25" s="281">
        <f>F25/C25</f>
        <v>0.9940133714987438</v>
      </c>
      <c r="J25" s="281">
        <f>G25/D25</f>
        <v>1.1283804837922617</v>
      </c>
      <c r="K25" s="281">
        <f>H25/E25</f>
        <v>1.1409311969252016</v>
      </c>
    </row>
    <row r="26" spans="1:11" ht="23.25" customHeight="1">
      <c r="A26" s="107"/>
      <c r="B26" s="286" t="s">
        <v>117</v>
      </c>
      <c r="C26" s="283">
        <f t="shared" si="2"/>
        <v>0</v>
      </c>
      <c r="D26" s="283"/>
      <c r="E26" s="283"/>
      <c r="F26" s="284">
        <f t="shared" si="3"/>
        <v>0</v>
      </c>
      <c r="G26" s="284"/>
      <c r="H26" s="284"/>
      <c r="I26" s="285"/>
      <c r="J26" s="285"/>
      <c r="K26" s="285"/>
    </row>
    <row r="27" spans="1:11" ht="23.25" customHeight="1">
      <c r="A27" s="107">
        <v>1</v>
      </c>
      <c r="B27" s="286" t="s">
        <v>110</v>
      </c>
      <c r="C27" s="283">
        <f>'bieu 52'!C30</f>
        <v>271842.76</v>
      </c>
      <c r="D27" s="283">
        <f>C27-E27</f>
        <v>271286.84</v>
      </c>
      <c r="E27" s="283">
        <v>555.92</v>
      </c>
      <c r="F27" s="284">
        <f t="shared" si="3"/>
        <v>284802.002</v>
      </c>
      <c r="G27" s="284">
        <v>283991.485</v>
      </c>
      <c r="H27" s="284">
        <v>810.517</v>
      </c>
      <c r="I27" s="285">
        <f>F27/C27</f>
        <v>1.0476718305832384</v>
      </c>
      <c r="J27" s="285">
        <f>G27/D27</f>
        <v>1.0468310405325962</v>
      </c>
      <c r="K27" s="285">
        <f>H27/E27</f>
        <v>1.4579741689451722</v>
      </c>
    </row>
    <row r="28" spans="1:11" ht="23.25" customHeight="1">
      <c r="A28" s="107">
        <v>2</v>
      </c>
      <c r="B28" s="286" t="s">
        <v>118</v>
      </c>
      <c r="C28" s="283">
        <f t="shared" si="2"/>
        <v>30</v>
      </c>
      <c r="D28" s="283">
        <v>30</v>
      </c>
      <c r="E28" s="283"/>
      <c r="F28" s="284">
        <f t="shared" si="3"/>
        <v>35.04</v>
      </c>
      <c r="G28" s="284">
        <f>'[3]biểu 62'!$G$33</f>
        <v>35.04</v>
      </c>
      <c r="H28" s="284"/>
      <c r="I28" s="285">
        <f>F28/C28</f>
        <v>1.168</v>
      </c>
      <c r="J28" s="285">
        <f>G28/D28</f>
        <v>1.168</v>
      </c>
      <c r="K28" s="285"/>
    </row>
    <row r="29" spans="1:11" s="6" customFormat="1" ht="28.5" customHeight="1">
      <c r="A29" s="277" t="s">
        <v>44</v>
      </c>
      <c r="B29" s="278" t="s">
        <v>54</v>
      </c>
      <c r="C29" s="279">
        <f t="shared" si="2"/>
        <v>0</v>
      </c>
      <c r="D29" s="279"/>
      <c r="E29" s="279"/>
      <c r="F29" s="280">
        <f t="shared" si="3"/>
        <v>0</v>
      </c>
      <c r="G29" s="280"/>
      <c r="H29" s="280"/>
      <c r="I29" s="281"/>
      <c r="J29" s="281"/>
      <c r="K29" s="281"/>
    </row>
    <row r="30" spans="1:11" s="6" customFormat="1" ht="24" customHeight="1">
      <c r="A30" s="277" t="s">
        <v>46</v>
      </c>
      <c r="B30" s="278" t="s">
        <v>55</v>
      </c>
      <c r="C30" s="279">
        <f t="shared" si="2"/>
        <v>0</v>
      </c>
      <c r="D30" s="279"/>
      <c r="E30" s="279"/>
      <c r="F30" s="280">
        <f t="shared" si="3"/>
        <v>0</v>
      </c>
      <c r="G30" s="280"/>
      <c r="H30" s="280"/>
      <c r="I30" s="281"/>
      <c r="J30" s="281"/>
      <c r="K30" s="281"/>
    </row>
    <row r="31" spans="1:11" s="6" customFormat="1" ht="24" customHeight="1">
      <c r="A31" s="277" t="s">
        <v>48</v>
      </c>
      <c r="B31" s="278" t="s">
        <v>56</v>
      </c>
      <c r="C31" s="279">
        <f>'bieu 52'!C45</f>
        <v>10718</v>
      </c>
      <c r="D31" s="279">
        <f>C31-E31</f>
        <v>9075.94</v>
      </c>
      <c r="E31" s="279">
        <v>1642.06</v>
      </c>
      <c r="F31" s="280">
        <f t="shared" si="3"/>
        <v>4697.925</v>
      </c>
      <c r="G31" s="280">
        <v>3816.514</v>
      </c>
      <c r="H31" s="280">
        <v>881.4110000000001</v>
      </c>
      <c r="I31" s="281"/>
      <c r="J31" s="281"/>
      <c r="K31" s="281"/>
    </row>
    <row r="32" spans="1:11" s="6" customFormat="1" ht="24" customHeight="1">
      <c r="A32" s="277" t="s">
        <v>119</v>
      </c>
      <c r="B32" s="278" t="s">
        <v>57</v>
      </c>
      <c r="C32" s="279">
        <f>'bieu 52'!C46</f>
        <v>6694</v>
      </c>
      <c r="D32" s="279">
        <f>C32-E32</f>
        <v>5795.9</v>
      </c>
      <c r="E32" s="279">
        <v>898.1</v>
      </c>
      <c r="F32" s="280">
        <f t="shared" si="3"/>
        <v>0</v>
      </c>
      <c r="G32" s="280"/>
      <c r="H32" s="280"/>
      <c r="I32" s="281"/>
      <c r="J32" s="281"/>
      <c r="K32" s="281"/>
    </row>
    <row r="33" spans="1:11" s="6" customFormat="1" ht="24" customHeight="1">
      <c r="A33" s="277" t="s">
        <v>159</v>
      </c>
      <c r="B33" s="278" t="s">
        <v>338</v>
      </c>
      <c r="C33" s="279">
        <f t="shared" si="2"/>
        <v>5000</v>
      </c>
      <c r="D33" s="279">
        <f>'bieu 52'!C47</f>
        <v>5000</v>
      </c>
      <c r="E33" s="279"/>
      <c r="F33" s="280"/>
      <c r="G33" s="280"/>
      <c r="H33" s="280"/>
      <c r="I33" s="281"/>
      <c r="J33" s="281"/>
      <c r="K33" s="281"/>
    </row>
    <row r="34" spans="1:11" s="6" customFormat="1" ht="24" customHeight="1">
      <c r="A34" s="277" t="s">
        <v>31</v>
      </c>
      <c r="B34" s="278" t="s">
        <v>120</v>
      </c>
      <c r="C34" s="279">
        <f aca="true" t="shared" si="4" ref="C34:H34">C35+C39</f>
        <v>0</v>
      </c>
      <c r="D34" s="279">
        <f t="shared" si="4"/>
        <v>0</v>
      </c>
      <c r="E34" s="279">
        <f t="shared" si="4"/>
        <v>0</v>
      </c>
      <c r="F34" s="280">
        <f t="shared" si="4"/>
        <v>147991.44</v>
      </c>
      <c r="G34" s="280">
        <f t="shared" si="4"/>
        <v>112845.51999999999</v>
      </c>
      <c r="H34" s="280">
        <f t="shared" si="4"/>
        <v>35145.92</v>
      </c>
      <c r="I34" s="281"/>
      <c r="J34" s="281"/>
      <c r="K34" s="281"/>
    </row>
    <row r="35" spans="1:11" s="6" customFormat="1" ht="24" customHeight="1">
      <c r="A35" s="277" t="s">
        <v>35</v>
      </c>
      <c r="B35" s="278" t="s">
        <v>59</v>
      </c>
      <c r="C35" s="279">
        <f aca="true" t="shared" si="5" ref="C35:H35">C36+C37+C38</f>
        <v>0</v>
      </c>
      <c r="D35" s="279">
        <f t="shared" si="5"/>
        <v>0</v>
      </c>
      <c r="E35" s="279">
        <f t="shared" si="5"/>
        <v>0</v>
      </c>
      <c r="F35" s="280">
        <f t="shared" si="5"/>
        <v>147991.44</v>
      </c>
      <c r="G35" s="280">
        <f t="shared" si="5"/>
        <v>112845.51999999999</v>
      </c>
      <c r="H35" s="280">
        <f t="shared" si="5"/>
        <v>35145.92</v>
      </c>
      <c r="I35" s="281"/>
      <c r="J35" s="281"/>
      <c r="K35" s="281"/>
    </row>
    <row r="36" spans="1:11" ht="24" customHeight="1">
      <c r="A36" s="107"/>
      <c r="B36" s="282" t="s">
        <v>415</v>
      </c>
      <c r="C36" s="283">
        <f t="shared" si="2"/>
        <v>0</v>
      </c>
      <c r="D36" s="283"/>
      <c r="E36" s="283"/>
      <c r="F36" s="284">
        <f>G36+H36</f>
        <v>9051.39</v>
      </c>
      <c r="G36" s="287">
        <f>2374.76</f>
        <v>2374.76</v>
      </c>
      <c r="H36" s="284">
        <v>6676.63</v>
      </c>
      <c r="I36" s="285"/>
      <c r="J36" s="285"/>
      <c r="K36" s="285"/>
    </row>
    <row r="37" spans="1:11" ht="24" customHeight="1">
      <c r="A37" s="107"/>
      <c r="B37" s="282" t="s">
        <v>268</v>
      </c>
      <c r="C37" s="283">
        <f t="shared" si="2"/>
        <v>0</v>
      </c>
      <c r="D37" s="283"/>
      <c r="E37" s="283"/>
      <c r="F37" s="284">
        <f>G37+H37</f>
        <v>60662.659999999996</v>
      </c>
      <c r="G37" s="287">
        <v>55918.49</v>
      </c>
      <c r="H37" s="284">
        <v>4744.17</v>
      </c>
      <c r="I37" s="285"/>
      <c r="J37" s="285"/>
      <c r="K37" s="285"/>
    </row>
    <row r="38" spans="1:11" ht="45.75" customHeight="1">
      <c r="A38" s="107"/>
      <c r="B38" s="288" t="s">
        <v>632</v>
      </c>
      <c r="C38" s="283">
        <f t="shared" si="2"/>
        <v>0</v>
      </c>
      <c r="D38" s="283"/>
      <c r="E38" s="283"/>
      <c r="F38" s="284">
        <f>G38+H38</f>
        <v>78277.39</v>
      </c>
      <c r="G38" s="287">
        <v>54552.27</v>
      </c>
      <c r="H38" s="287">
        <v>23725.12</v>
      </c>
      <c r="I38" s="285"/>
      <c r="J38" s="285"/>
      <c r="K38" s="285"/>
    </row>
    <row r="39" spans="1:11" s="6" customFormat="1" ht="24" customHeight="1">
      <c r="A39" s="277" t="s">
        <v>40</v>
      </c>
      <c r="B39" s="278" t="s">
        <v>413</v>
      </c>
      <c r="C39" s="279">
        <f aca="true" t="shared" si="6" ref="C39:H39">C40</f>
        <v>0</v>
      </c>
      <c r="D39" s="279">
        <f t="shared" si="6"/>
        <v>0</v>
      </c>
      <c r="E39" s="279">
        <f t="shared" si="6"/>
        <v>0</v>
      </c>
      <c r="F39" s="280">
        <f t="shared" si="6"/>
        <v>0</v>
      </c>
      <c r="G39" s="280">
        <f t="shared" si="6"/>
        <v>0</v>
      </c>
      <c r="H39" s="280">
        <f t="shared" si="6"/>
        <v>0</v>
      </c>
      <c r="I39" s="281"/>
      <c r="J39" s="281"/>
      <c r="K39" s="281"/>
    </row>
    <row r="40" spans="1:11" ht="24" customHeight="1">
      <c r="A40" s="107"/>
      <c r="B40" s="282" t="s">
        <v>414</v>
      </c>
      <c r="C40" s="283">
        <f t="shared" si="2"/>
        <v>0</v>
      </c>
      <c r="D40" s="283"/>
      <c r="E40" s="283"/>
      <c r="F40" s="284">
        <f t="shared" si="3"/>
        <v>0</v>
      </c>
      <c r="G40" s="284">
        <v>0</v>
      </c>
      <c r="H40" s="284"/>
      <c r="I40" s="285"/>
      <c r="J40" s="285"/>
      <c r="K40" s="285"/>
    </row>
    <row r="41" spans="1:11" s="6" customFormat="1" ht="24" customHeight="1">
      <c r="A41" s="277" t="s">
        <v>62</v>
      </c>
      <c r="B41" s="278" t="s">
        <v>123</v>
      </c>
      <c r="C41" s="279">
        <f>D41+E41</f>
        <v>0</v>
      </c>
      <c r="D41" s="279"/>
      <c r="E41" s="279"/>
      <c r="F41" s="280">
        <f>G41+H41</f>
        <v>86781.523</v>
      </c>
      <c r="G41" s="280">
        <f>'[3]biểu 62'!$G$46</f>
        <v>53038.232</v>
      </c>
      <c r="H41" s="280">
        <f>'[3]biểu 62'!$H$46</f>
        <v>33743.291</v>
      </c>
      <c r="I41" s="281"/>
      <c r="J41" s="281"/>
      <c r="K41" s="281"/>
    </row>
    <row r="42" spans="1:11" s="6" customFormat="1" ht="24" customHeight="1">
      <c r="A42" s="277" t="s">
        <v>64</v>
      </c>
      <c r="B42" s="278" t="s">
        <v>342</v>
      </c>
      <c r="C42" s="279">
        <f t="shared" si="2"/>
        <v>0</v>
      </c>
      <c r="D42" s="279"/>
      <c r="E42" s="279"/>
      <c r="F42" s="280">
        <f t="shared" si="3"/>
        <v>9702</v>
      </c>
      <c r="G42" s="280">
        <f>'[3]biểu 62'!$G$54</f>
        <v>8552</v>
      </c>
      <c r="H42" s="280">
        <f>'[3]biểu 62'!$H$54</f>
        <v>1150</v>
      </c>
      <c r="I42" s="281"/>
      <c r="J42" s="281"/>
      <c r="K42" s="281"/>
    </row>
    <row r="43" spans="1:11" ht="32.25" customHeight="1">
      <c r="A43" s="400" t="s">
        <v>68</v>
      </c>
      <c r="B43" s="401" t="s">
        <v>723</v>
      </c>
      <c r="C43" s="414">
        <f>D43+E43</f>
        <v>0</v>
      </c>
      <c r="D43" s="414">
        <f>'bieu 52'!C50</f>
        <v>0</v>
      </c>
      <c r="E43" s="414"/>
      <c r="F43" s="289">
        <f t="shared" si="3"/>
        <v>407.2</v>
      </c>
      <c r="G43" s="443">
        <f>'bieu 49'!D27</f>
        <v>407.2</v>
      </c>
      <c r="H43" s="414"/>
      <c r="I43" s="414"/>
      <c r="J43" s="414"/>
      <c r="K43" s="414"/>
    </row>
    <row r="44" spans="1:11" ht="15">
      <c r="A44" s="2"/>
      <c r="B44" s="2"/>
      <c r="C44" s="33"/>
      <c r="D44" s="33"/>
      <c r="E44" s="33"/>
      <c r="F44" s="33"/>
      <c r="G44" s="33"/>
      <c r="H44" s="33"/>
      <c r="I44" s="2"/>
      <c r="J44" s="2"/>
      <c r="K44" s="2"/>
    </row>
  </sheetData>
  <sheetProtection/>
  <mergeCells count="11">
    <mergeCell ref="B6:B7"/>
    <mergeCell ref="C6:C7"/>
    <mergeCell ref="D6:E6"/>
    <mergeCell ref="H2:K2"/>
    <mergeCell ref="H1:K1"/>
    <mergeCell ref="F6:F7"/>
    <mergeCell ref="G6:H6"/>
    <mergeCell ref="I6:K6"/>
    <mergeCell ref="A3:K3"/>
    <mergeCell ref="A4:K4"/>
    <mergeCell ref="A6:A7"/>
  </mergeCells>
  <printOptions horizontalCentered="1"/>
  <pageMargins left="0.3937007874015748" right="0" top="0.984251968503937" bottom="0.3937007874015748" header="0.1968503937007874" footer="0.196850393700787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E165"/>
  <sheetViews>
    <sheetView zoomScale="70" zoomScaleNormal="7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4" sqref="A4:R4"/>
    </sheetView>
  </sheetViews>
  <sheetFormatPr defaultColWidth="9.140625" defaultRowHeight="12.75"/>
  <cols>
    <col min="1" max="1" width="8.140625" style="38" customWidth="1"/>
    <col min="2" max="2" width="31.7109375" style="38" customWidth="1"/>
    <col min="3" max="3" width="16.28125" style="38" customWidth="1"/>
    <col min="4" max="4" width="13.421875" style="38" customWidth="1"/>
    <col min="5" max="5" width="14.8515625" style="38" customWidth="1"/>
    <col min="6" max="6" width="14.140625" style="38" customWidth="1"/>
    <col min="7" max="7" width="16.421875" style="38" customWidth="1"/>
    <col min="8" max="8" width="15.140625" style="38" customWidth="1"/>
    <col min="9" max="9" width="15.28125" style="38" customWidth="1"/>
    <col min="10" max="10" width="11.8515625" style="38" customWidth="1"/>
    <col min="11" max="11" width="12.7109375" style="38" customWidth="1"/>
    <col min="12" max="12" width="14.8515625" style="38" customWidth="1"/>
    <col min="13" max="13" width="15.140625" style="38" customWidth="1"/>
    <col min="14" max="14" width="14.00390625" style="38" customWidth="1"/>
    <col min="15" max="15" width="13.421875" style="44" customWidth="1"/>
    <col min="16" max="16" width="11.00390625" style="38" customWidth="1"/>
    <col min="17" max="17" width="10.28125" style="38" customWidth="1"/>
    <col min="18" max="18" width="10.421875" style="38" customWidth="1"/>
    <col min="19" max="19" width="20.28125" style="504" customWidth="1"/>
    <col min="20" max="20" width="24.421875" style="44" customWidth="1"/>
    <col min="21" max="21" width="16.7109375" style="38" customWidth="1"/>
    <col min="22" max="23" width="15.28125" style="38" customWidth="1"/>
    <col min="24" max="24" width="13.8515625" style="38" bestFit="1" customWidth="1"/>
    <col min="25" max="26" width="11.8515625" style="38" bestFit="1" customWidth="1"/>
    <col min="27" max="31" width="13.8515625" style="38" bestFit="1" customWidth="1"/>
    <col min="32" max="32" width="10.57421875" style="38" bestFit="1" customWidth="1"/>
    <col min="33" max="33" width="13.8515625" style="38" bestFit="1" customWidth="1"/>
    <col min="34" max="34" width="11.8515625" style="38" bestFit="1" customWidth="1"/>
    <col min="35" max="35" width="13.8515625" style="38" bestFit="1" customWidth="1"/>
    <col min="36" max="16384" width="9.140625" style="38" customWidth="1"/>
  </cols>
  <sheetData>
    <row r="1" spans="7:18" ht="18">
      <c r="G1" s="294"/>
      <c r="H1" s="294"/>
      <c r="I1" s="294"/>
      <c r="N1" s="832" t="s">
        <v>152</v>
      </c>
      <c r="O1" s="832"/>
      <c r="P1" s="832"/>
      <c r="Q1" s="832"/>
      <c r="R1" s="832"/>
    </row>
    <row r="2" spans="7:18" ht="18">
      <c r="G2" s="116"/>
      <c r="H2" s="294"/>
      <c r="I2" s="503"/>
      <c r="N2" s="833" t="s">
        <v>625</v>
      </c>
      <c r="O2" s="833"/>
      <c r="P2" s="833"/>
      <c r="Q2" s="833"/>
      <c r="R2" s="833"/>
    </row>
    <row r="3" spans="1:18" ht="18">
      <c r="A3" s="835" t="s">
        <v>725</v>
      </c>
      <c r="B3" s="835"/>
      <c r="C3" s="835"/>
      <c r="D3" s="835"/>
      <c r="E3" s="835"/>
      <c r="F3" s="835"/>
      <c r="G3" s="835"/>
      <c r="H3" s="835"/>
      <c r="I3" s="835"/>
      <c r="J3" s="835"/>
      <c r="K3" s="835"/>
      <c r="L3" s="835"/>
      <c r="M3" s="835"/>
      <c r="N3" s="835"/>
      <c r="O3" s="835"/>
      <c r="P3" s="835"/>
      <c r="Q3" s="835"/>
      <c r="R3" s="835"/>
    </row>
    <row r="4" spans="1:18" ht="18">
      <c r="A4" s="836" t="str">
        <f>'bieu 48 '!A4:F4</f>
        <v>(Kèm theo Báo cáo số 627/BC-UBND ngày 10 tháng 7 năm 2024 của UBND huyện Bắc Sơn)</v>
      </c>
      <c r="B4" s="836"/>
      <c r="C4" s="836"/>
      <c r="D4" s="836"/>
      <c r="E4" s="836"/>
      <c r="F4" s="836"/>
      <c r="G4" s="836"/>
      <c r="H4" s="836"/>
      <c r="I4" s="836"/>
      <c r="J4" s="836"/>
      <c r="K4" s="836"/>
      <c r="L4" s="836"/>
      <c r="M4" s="836"/>
      <c r="N4" s="836"/>
      <c r="O4" s="836"/>
      <c r="P4" s="836"/>
      <c r="Q4" s="836"/>
      <c r="R4" s="836"/>
    </row>
    <row r="5" spans="1:20" s="36" customFormat="1" ht="18.75" customHeight="1">
      <c r="A5" s="38"/>
      <c r="B5" s="44"/>
      <c r="C5" s="293"/>
      <c r="D5" s="294"/>
      <c r="E5" s="294"/>
      <c r="F5" s="294"/>
      <c r="G5" s="116"/>
      <c r="H5" s="501"/>
      <c r="I5" s="501"/>
      <c r="J5" s="501"/>
      <c r="K5" s="38"/>
      <c r="L5" s="38"/>
      <c r="M5" s="38"/>
      <c r="N5" s="38"/>
      <c r="O5" s="44"/>
      <c r="P5" s="38"/>
      <c r="Q5" s="38"/>
      <c r="R5" s="47" t="s">
        <v>22</v>
      </c>
      <c r="S5" s="505"/>
      <c r="T5" s="117"/>
    </row>
    <row r="6" spans="1:20" s="36" customFormat="1" ht="18.75" customHeight="1">
      <c r="A6" s="834" t="s">
        <v>23</v>
      </c>
      <c r="B6" s="834" t="s">
        <v>153</v>
      </c>
      <c r="C6" s="834" t="s">
        <v>442</v>
      </c>
      <c r="D6" s="834"/>
      <c r="E6" s="834"/>
      <c r="F6" s="834"/>
      <c r="G6" s="834" t="s">
        <v>26</v>
      </c>
      <c r="H6" s="834"/>
      <c r="I6" s="834"/>
      <c r="J6" s="834"/>
      <c r="K6" s="834"/>
      <c r="L6" s="834"/>
      <c r="M6" s="834"/>
      <c r="N6" s="834"/>
      <c r="O6" s="834"/>
      <c r="P6" s="834" t="s">
        <v>76</v>
      </c>
      <c r="Q6" s="834"/>
      <c r="R6" s="834"/>
      <c r="S6" s="505"/>
      <c r="T6" s="117"/>
    </row>
    <row r="7" spans="1:21" s="36" customFormat="1" ht="75.75" customHeight="1">
      <c r="A7" s="834"/>
      <c r="B7" s="834"/>
      <c r="C7" s="834" t="s">
        <v>154</v>
      </c>
      <c r="D7" s="834" t="s">
        <v>443</v>
      </c>
      <c r="E7" s="834" t="s">
        <v>444</v>
      </c>
      <c r="F7" s="834" t="s">
        <v>269</v>
      </c>
      <c r="G7" s="834" t="s">
        <v>154</v>
      </c>
      <c r="H7" s="834" t="s">
        <v>443</v>
      </c>
      <c r="I7" s="834" t="s">
        <v>444</v>
      </c>
      <c r="J7" s="839" t="s">
        <v>269</v>
      </c>
      <c r="K7" s="838" t="s">
        <v>724</v>
      </c>
      <c r="L7" s="834" t="s">
        <v>156</v>
      </c>
      <c r="M7" s="834"/>
      <c r="N7" s="834"/>
      <c r="O7" s="837" t="s">
        <v>157</v>
      </c>
      <c r="P7" s="834" t="s">
        <v>154</v>
      </c>
      <c r="Q7" s="834" t="s">
        <v>52</v>
      </c>
      <c r="R7" s="834" t="s">
        <v>53</v>
      </c>
      <c r="S7" s="506"/>
      <c r="T7" s="117"/>
      <c r="U7" s="337"/>
    </row>
    <row r="8" spans="1:21" ht="56.25" customHeight="1">
      <c r="A8" s="834"/>
      <c r="B8" s="834"/>
      <c r="C8" s="834"/>
      <c r="D8" s="834"/>
      <c r="E8" s="834"/>
      <c r="F8" s="834"/>
      <c r="G8" s="834"/>
      <c r="H8" s="834"/>
      <c r="I8" s="834"/>
      <c r="J8" s="839"/>
      <c r="K8" s="838"/>
      <c r="L8" s="35" t="s">
        <v>154</v>
      </c>
      <c r="M8" s="35" t="s">
        <v>52</v>
      </c>
      <c r="N8" s="35" t="s">
        <v>53</v>
      </c>
      <c r="O8" s="837"/>
      <c r="P8" s="834"/>
      <c r="Q8" s="834"/>
      <c r="R8" s="834"/>
      <c r="S8" s="505"/>
      <c r="T8" s="117"/>
      <c r="U8" s="117"/>
    </row>
    <row r="9" spans="1:21" s="39" customFormat="1" ht="30" customHeight="1">
      <c r="A9" s="37" t="s">
        <v>30</v>
      </c>
      <c r="B9" s="37" t="s">
        <v>31</v>
      </c>
      <c r="C9" s="37">
        <v>1</v>
      </c>
      <c r="D9" s="37">
        <v>2</v>
      </c>
      <c r="E9" s="37">
        <v>3</v>
      </c>
      <c r="F9" s="37">
        <v>4</v>
      </c>
      <c r="G9" s="37">
        <v>5</v>
      </c>
      <c r="H9" s="37">
        <v>6</v>
      </c>
      <c r="I9" s="37">
        <v>7</v>
      </c>
      <c r="J9" s="37">
        <v>8</v>
      </c>
      <c r="K9" s="37">
        <v>9</v>
      </c>
      <c r="L9" s="37">
        <v>10</v>
      </c>
      <c r="M9" s="37">
        <v>11</v>
      </c>
      <c r="N9" s="37">
        <v>12</v>
      </c>
      <c r="O9" s="37">
        <v>13</v>
      </c>
      <c r="P9" s="37">
        <v>14</v>
      </c>
      <c r="Q9" s="37">
        <v>15</v>
      </c>
      <c r="R9" s="37">
        <v>16</v>
      </c>
      <c r="S9" s="506"/>
      <c r="T9" s="118"/>
      <c r="U9" s="295"/>
    </row>
    <row r="10" spans="1:21" s="40" customFormat="1" ht="41.25" customHeight="1">
      <c r="A10" s="606"/>
      <c r="B10" s="607" t="s">
        <v>158</v>
      </c>
      <c r="C10" s="608">
        <f>C11+C109</f>
        <v>629562.512</v>
      </c>
      <c r="D10" s="608">
        <f aca="true" t="shared" si="0" ref="D10:O10">D11+D109</f>
        <v>14608</v>
      </c>
      <c r="E10" s="608">
        <f t="shared" si="0"/>
        <v>503895.002</v>
      </c>
      <c r="F10" s="608">
        <f>F11+F109</f>
        <v>10718</v>
      </c>
      <c r="G10" s="608">
        <f t="shared" si="0"/>
        <v>786476.3929289998</v>
      </c>
      <c r="H10" s="608">
        <f t="shared" si="0"/>
        <v>38348.077</v>
      </c>
      <c r="I10" s="608">
        <f t="shared" si="0"/>
        <v>563955.439886</v>
      </c>
      <c r="J10" s="608">
        <f t="shared" si="0"/>
        <v>880.9469999999999</v>
      </c>
      <c r="K10" s="608">
        <f t="shared" si="0"/>
        <v>1557.2</v>
      </c>
      <c r="L10" s="608">
        <f t="shared" si="0"/>
        <v>147991.43801</v>
      </c>
      <c r="M10" s="608">
        <f t="shared" si="0"/>
        <v>112315.078</v>
      </c>
      <c r="N10" s="608">
        <f t="shared" si="0"/>
        <v>35676.360010000004</v>
      </c>
      <c r="O10" s="608">
        <f t="shared" si="0"/>
        <v>86781.52400199999</v>
      </c>
      <c r="P10" s="609">
        <f aca="true" t="shared" si="1" ref="P10:R11">G10/C10*100</f>
        <v>124.92427327518507</v>
      </c>
      <c r="Q10" s="609">
        <f t="shared" si="1"/>
        <v>262.5142182365827</v>
      </c>
      <c r="R10" s="609">
        <f t="shared" si="1"/>
        <v>111.91923667581842</v>
      </c>
      <c r="S10" s="506"/>
      <c r="T10" s="118"/>
      <c r="U10" s="295"/>
    </row>
    <row r="11" spans="1:20" s="41" customFormat="1" ht="36.75" customHeight="1">
      <c r="A11" s="610" t="s">
        <v>35</v>
      </c>
      <c r="B11" s="611" t="s">
        <v>445</v>
      </c>
      <c r="C11" s="456">
        <f>SUM(C12:C108)</f>
        <v>543349.242</v>
      </c>
      <c r="D11" s="456">
        <f aca="true" t="shared" si="2" ref="D11:O11">SUM(D12:D108)</f>
        <v>14608</v>
      </c>
      <c r="E11" s="456">
        <f t="shared" si="2"/>
        <v>419450.852</v>
      </c>
      <c r="F11" s="456">
        <f>SUM(F12:F108)</f>
        <v>8948.88</v>
      </c>
      <c r="G11" s="456">
        <f t="shared" si="2"/>
        <v>619992.0544899999</v>
      </c>
      <c r="H11" s="456">
        <f t="shared" si="2"/>
        <v>36457.422999999995</v>
      </c>
      <c r="I11" s="456">
        <f t="shared" si="2"/>
        <v>470281.90883</v>
      </c>
      <c r="J11" s="456">
        <f t="shared" si="2"/>
        <v>0</v>
      </c>
      <c r="K11" s="456">
        <f t="shared" si="2"/>
        <v>407.2</v>
      </c>
      <c r="L11" s="456">
        <f t="shared" si="2"/>
        <v>112845.52266</v>
      </c>
      <c r="M11" s="456">
        <f t="shared" si="2"/>
        <v>101975.961</v>
      </c>
      <c r="N11" s="456">
        <f t="shared" si="2"/>
        <v>10869.561660000001</v>
      </c>
      <c r="O11" s="518">
        <f t="shared" si="2"/>
        <v>53038.232969</v>
      </c>
      <c r="P11" s="456">
        <f t="shared" si="1"/>
        <v>114.10562609931827</v>
      </c>
      <c r="Q11" s="456">
        <f t="shared" si="1"/>
        <v>249.57162513691125</v>
      </c>
      <c r="R11" s="456">
        <f t="shared" si="1"/>
        <v>112.11847743010424</v>
      </c>
      <c r="S11" s="506"/>
      <c r="T11" s="508"/>
    </row>
    <row r="12" spans="1:20" s="41" customFormat="1" ht="36.75" customHeight="1">
      <c r="A12" s="146">
        <v>1</v>
      </c>
      <c r="B12" s="147" t="s">
        <v>294</v>
      </c>
      <c r="C12" s="457">
        <v>7562.35</v>
      </c>
      <c r="D12" s="457"/>
      <c r="E12" s="459">
        <v>7562.35</v>
      </c>
      <c r="F12" s="457"/>
      <c r="G12" s="457">
        <f>SUM(H12:L12)</f>
        <v>8962.1891</v>
      </c>
      <c r="H12" s="457"/>
      <c r="I12" s="459">
        <v>8962.1891</v>
      </c>
      <c r="J12" s="457"/>
      <c r="K12" s="457"/>
      <c r="L12" s="457">
        <f>M12+N12</f>
        <v>0</v>
      </c>
      <c r="M12" s="457"/>
      <c r="N12" s="457"/>
      <c r="O12" s="547"/>
      <c r="P12" s="458">
        <f aca="true" t="shared" si="3" ref="P12:P43">G12/C12*100</f>
        <v>118.51063624402467</v>
      </c>
      <c r="Q12" s="458"/>
      <c r="R12" s="458">
        <f aca="true" t="shared" si="4" ref="R12:R43">I12/E12*100</f>
        <v>118.51063624402467</v>
      </c>
      <c r="S12" s="543"/>
      <c r="T12" s="507"/>
    </row>
    <row r="13" spans="1:20" s="41" customFormat="1" ht="36.75" customHeight="1">
      <c r="A13" s="146">
        <v>2</v>
      </c>
      <c r="B13" s="147" t="s">
        <v>446</v>
      </c>
      <c r="C13" s="457">
        <v>1133.758</v>
      </c>
      <c r="D13" s="457"/>
      <c r="E13" s="459">
        <v>1133.758</v>
      </c>
      <c r="F13" s="457"/>
      <c r="G13" s="457">
        <f aca="true" t="shared" si="5" ref="G13:G77">SUM(H13:L13)</f>
        <v>1261.961</v>
      </c>
      <c r="H13" s="457"/>
      <c r="I13" s="459">
        <f>1261.961-N13</f>
        <v>1251.961</v>
      </c>
      <c r="J13" s="457"/>
      <c r="K13" s="457"/>
      <c r="L13" s="457">
        <f aca="true" t="shared" si="6" ref="L13:L77">M13+N13</f>
        <v>10</v>
      </c>
      <c r="M13" s="457"/>
      <c r="N13" s="457">
        <v>10</v>
      </c>
      <c r="O13" s="547">
        <v>123.63</v>
      </c>
      <c r="P13" s="458">
        <f t="shared" si="3"/>
        <v>111.30779231546768</v>
      </c>
      <c r="Q13" s="458"/>
      <c r="R13" s="458">
        <f t="shared" si="4"/>
        <v>110.42576987328864</v>
      </c>
      <c r="S13" s="506"/>
      <c r="T13" s="507"/>
    </row>
    <row r="14" spans="1:20" s="41" customFormat="1" ht="36.75" customHeight="1">
      <c r="A14" s="146">
        <v>3</v>
      </c>
      <c r="B14" s="147" t="s">
        <v>447</v>
      </c>
      <c r="C14" s="457">
        <v>546.7</v>
      </c>
      <c r="D14" s="457"/>
      <c r="E14" s="459">
        <v>546.7</v>
      </c>
      <c r="F14" s="457"/>
      <c r="G14" s="457">
        <f t="shared" si="5"/>
        <v>630.994</v>
      </c>
      <c r="H14" s="457"/>
      <c r="I14" s="459">
        <f>630.994-N14</f>
        <v>620.994</v>
      </c>
      <c r="J14" s="457"/>
      <c r="K14" s="457"/>
      <c r="L14" s="457">
        <f t="shared" si="6"/>
        <v>10</v>
      </c>
      <c r="M14" s="457"/>
      <c r="N14" s="457">
        <v>10</v>
      </c>
      <c r="O14" s="547">
        <v>44.604</v>
      </c>
      <c r="P14" s="458">
        <f t="shared" si="3"/>
        <v>115.41869398207425</v>
      </c>
      <c r="Q14" s="458"/>
      <c r="R14" s="458">
        <f t="shared" si="4"/>
        <v>113.58953722334005</v>
      </c>
      <c r="S14" s="506"/>
      <c r="T14" s="507"/>
    </row>
    <row r="15" spans="1:20" s="41" customFormat="1" ht="36.75" customHeight="1">
      <c r="A15" s="146">
        <v>4</v>
      </c>
      <c r="B15" s="42" t="s">
        <v>448</v>
      </c>
      <c r="C15" s="457">
        <v>3322.3559999999998</v>
      </c>
      <c r="D15" s="457"/>
      <c r="E15" s="459">
        <v>556.356</v>
      </c>
      <c r="F15" s="457"/>
      <c r="G15" s="457">
        <f t="shared" si="5"/>
        <v>1516.297</v>
      </c>
      <c r="H15" s="457"/>
      <c r="I15" s="459">
        <f>1516.297-N15</f>
        <v>758.1800000000001</v>
      </c>
      <c r="J15" s="457"/>
      <c r="K15" s="457"/>
      <c r="L15" s="457">
        <f t="shared" si="6"/>
        <v>758.117</v>
      </c>
      <c r="M15" s="457"/>
      <c r="N15" s="457">
        <f>4.96+539.76+210.117+3.28</f>
        <v>758.117</v>
      </c>
      <c r="O15" s="547">
        <f>5.04+1.72+2.265+2550.883+123.05+43.2</f>
        <v>2726.158</v>
      </c>
      <c r="P15" s="458">
        <f t="shared" si="3"/>
        <v>45.63920904322114</v>
      </c>
      <c r="Q15" s="458"/>
      <c r="R15" s="458">
        <f t="shared" si="4"/>
        <v>136.27605346217172</v>
      </c>
      <c r="S15" s="506"/>
      <c r="T15" s="507"/>
    </row>
    <row r="16" spans="1:20" s="41" customFormat="1" ht="36.75" customHeight="1">
      <c r="A16" s="146">
        <v>5</v>
      </c>
      <c r="B16" s="147" t="s">
        <v>449</v>
      </c>
      <c r="C16" s="457">
        <v>813.91</v>
      </c>
      <c r="D16" s="457"/>
      <c r="E16" s="459">
        <v>813.91</v>
      </c>
      <c r="F16" s="457"/>
      <c r="G16" s="457">
        <f t="shared" si="5"/>
        <v>948.954</v>
      </c>
      <c r="H16" s="457"/>
      <c r="I16" s="459">
        <f>948.954-N16</f>
        <v>938.954</v>
      </c>
      <c r="J16" s="457"/>
      <c r="K16" s="457"/>
      <c r="L16" s="457">
        <f t="shared" si="6"/>
        <v>10</v>
      </c>
      <c r="M16" s="457"/>
      <c r="N16" s="457">
        <v>10</v>
      </c>
      <c r="O16" s="547">
        <v>123.32</v>
      </c>
      <c r="P16" s="458">
        <f t="shared" si="3"/>
        <v>116.59200648720373</v>
      </c>
      <c r="Q16" s="458"/>
      <c r="R16" s="458">
        <f t="shared" si="4"/>
        <v>115.36336941430872</v>
      </c>
      <c r="S16" s="506"/>
      <c r="T16" s="507"/>
    </row>
    <row r="17" spans="1:20" s="41" customFormat="1" ht="36.75" customHeight="1">
      <c r="A17" s="146">
        <v>6</v>
      </c>
      <c r="B17" s="147" t="s">
        <v>450</v>
      </c>
      <c r="C17" s="457">
        <v>422.336</v>
      </c>
      <c r="D17" s="457"/>
      <c r="E17" s="459">
        <v>422.336</v>
      </c>
      <c r="F17" s="457"/>
      <c r="G17" s="457">
        <f t="shared" si="5"/>
        <v>584.154</v>
      </c>
      <c r="H17" s="457"/>
      <c r="I17" s="459">
        <f>584.154-N17</f>
        <v>574.154</v>
      </c>
      <c r="J17" s="457"/>
      <c r="K17" s="457"/>
      <c r="L17" s="457">
        <f t="shared" si="6"/>
        <v>10</v>
      </c>
      <c r="M17" s="457"/>
      <c r="N17" s="457">
        <v>10</v>
      </c>
      <c r="O17" s="547"/>
      <c r="P17" s="458">
        <f t="shared" si="3"/>
        <v>138.31499090771328</v>
      </c>
      <c r="Q17" s="458"/>
      <c r="R17" s="458">
        <f t="shared" si="4"/>
        <v>135.94720791028942</v>
      </c>
      <c r="S17" s="506"/>
      <c r="T17" s="507"/>
    </row>
    <row r="18" spans="1:20" s="41" customFormat="1" ht="36.75" customHeight="1">
      <c r="A18" s="146">
        <v>7</v>
      </c>
      <c r="B18" s="147" t="s">
        <v>295</v>
      </c>
      <c r="C18" s="457">
        <v>4808.727999999999</v>
      </c>
      <c r="D18" s="457"/>
      <c r="E18" s="459">
        <v>4808.727999999999</v>
      </c>
      <c r="F18" s="457"/>
      <c r="G18" s="457">
        <f t="shared" si="5"/>
        <v>7520.574</v>
      </c>
      <c r="H18" s="457"/>
      <c r="I18" s="459">
        <v>7520.574</v>
      </c>
      <c r="J18" s="457"/>
      <c r="K18" s="457"/>
      <c r="L18" s="457">
        <f t="shared" si="6"/>
        <v>0</v>
      </c>
      <c r="M18" s="457"/>
      <c r="N18" s="457"/>
      <c r="O18" s="547">
        <v>118.5224</v>
      </c>
      <c r="P18" s="458">
        <f t="shared" si="3"/>
        <v>156.39424812549183</v>
      </c>
      <c r="Q18" s="458"/>
      <c r="R18" s="458">
        <f t="shared" si="4"/>
        <v>156.39424812549183</v>
      </c>
      <c r="S18" s="506"/>
      <c r="T18" s="118"/>
    </row>
    <row r="19" spans="1:20" s="41" customFormat="1" ht="36.75" customHeight="1">
      <c r="A19" s="146">
        <v>8</v>
      </c>
      <c r="B19" s="147" t="s">
        <v>451</v>
      </c>
      <c r="C19" s="457">
        <v>8307.57</v>
      </c>
      <c r="D19" s="457">
        <v>150</v>
      </c>
      <c r="E19" s="459">
        <v>6977.57</v>
      </c>
      <c r="F19" s="457"/>
      <c r="G19" s="457">
        <f t="shared" si="5"/>
        <v>6876.145</v>
      </c>
      <c r="H19" s="457">
        <v>349.328</v>
      </c>
      <c r="I19" s="459">
        <f>6526.817-N19</f>
        <v>6079.6833</v>
      </c>
      <c r="J19" s="457"/>
      <c r="K19" s="457"/>
      <c r="L19" s="457">
        <f t="shared" si="6"/>
        <v>447.1337</v>
      </c>
      <c r="M19" s="457"/>
      <c r="N19" s="457">
        <f>8.5557+181.414+93+149.921+14.243</f>
        <v>447.1337</v>
      </c>
      <c r="O19" s="547">
        <f>11.444+1600+41.8595+15.7564</f>
        <v>1669.0599</v>
      </c>
      <c r="P19" s="458">
        <f t="shared" si="3"/>
        <v>82.76963058993184</v>
      </c>
      <c r="Q19" s="458"/>
      <c r="R19" s="458">
        <f t="shared" si="4"/>
        <v>87.13181379764016</v>
      </c>
      <c r="S19" s="506"/>
      <c r="T19" s="118"/>
    </row>
    <row r="20" spans="1:20" s="41" customFormat="1" ht="36.75" customHeight="1">
      <c r="A20" s="146">
        <v>9</v>
      </c>
      <c r="B20" s="147" t="s">
        <v>299</v>
      </c>
      <c r="C20" s="457">
        <v>1084.32</v>
      </c>
      <c r="D20" s="457"/>
      <c r="E20" s="459">
        <v>664.3199999999999</v>
      </c>
      <c r="F20" s="457"/>
      <c r="G20" s="457">
        <f t="shared" si="5"/>
        <v>1210.658</v>
      </c>
      <c r="H20" s="457"/>
      <c r="I20" s="459">
        <f>1210.658-N20</f>
        <v>790.6579999999999</v>
      </c>
      <c r="J20" s="457"/>
      <c r="K20" s="457"/>
      <c r="L20" s="457">
        <f t="shared" si="6"/>
        <v>420</v>
      </c>
      <c r="M20" s="457"/>
      <c r="N20" s="457">
        <v>420</v>
      </c>
      <c r="O20" s="547"/>
      <c r="P20" s="458">
        <f t="shared" si="3"/>
        <v>111.65135753283164</v>
      </c>
      <c r="Q20" s="458"/>
      <c r="R20" s="458">
        <f t="shared" si="4"/>
        <v>119.01764210019267</v>
      </c>
      <c r="S20" s="506"/>
      <c r="T20" s="118"/>
    </row>
    <row r="21" spans="1:20" s="41" customFormat="1" ht="36.75" customHeight="1">
      <c r="A21" s="146">
        <v>10</v>
      </c>
      <c r="B21" s="147" t="s">
        <v>635</v>
      </c>
      <c r="C21" s="457">
        <v>29369.86</v>
      </c>
      <c r="D21" s="457"/>
      <c r="E21" s="459">
        <v>29369.86</v>
      </c>
      <c r="F21" s="457"/>
      <c r="G21" s="457">
        <f t="shared" si="5"/>
        <v>35809.08652</v>
      </c>
      <c r="H21" s="457"/>
      <c r="I21" s="459">
        <v>35809.08652</v>
      </c>
      <c r="J21" s="457"/>
      <c r="K21" s="457"/>
      <c r="L21" s="457">
        <f t="shared" si="6"/>
        <v>0</v>
      </c>
      <c r="M21" s="457"/>
      <c r="N21" s="457"/>
      <c r="O21" s="547">
        <v>150</v>
      </c>
      <c r="P21" s="458">
        <f t="shared" si="3"/>
        <v>121.92460747174142</v>
      </c>
      <c r="Q21" s="458"/>
      <c r="R21" s="458">
        <f t="shared" si="4"/>
        <v>121.92460747174142</v>
      </c>
      <c r="S21" s="506"/>
      <c r="T21" s="118"/>
    </row>
    <row r="22" spans="1:20" s="41" customFormat="1" ht="28.5" customHeight="1">
      <c r="A22" s="146">
        <v>11</v>
      </c>
      <c r="B22" s="147" t="s">
        <v>297</v>
      </c>
      <c r="C22" s="457">
        <v>9922.369999999999</v>
      </c>
      <c r="D22" s="457">
        <v>2402</v>
      </c>
      <c r="E22" s="459">
        <v>7520.37</v>
      </c>
      <c r="F22" s="457"/>
      <c r="G22" s="457">
        <f t="shared" si="5"/>
        <v>16072.218200000001</v>
      </c>
      <c r="H22" s="457">
        <f>3410.699+250</f>
        <v>3660.699</v>
      </c>
      <c r="I22" s="459">
        <v>11781.8772</v>
      </c>
      <c r="J22" s="457"/>
      <c r="K22" s="457"/>
      <c r="L22" s="457">
        <f t="shared" si="6"/>
        <v>629.642</v>
      </c>
      <c r="M22" s="457"/>
      <c r="N22" s="457">
        <f>629.642</f>
        <v>629.642</v>
      </c>
      <c r="O22" s="547">
        <f>53.983+920+286.237</f>
        <v>1260.22</v>
      </c>
      <c r="P22" s="458">
        <f t="shared" si="3"/>
        <v>161.97962986665488</v>
      </c>
      <c r="Q22" s="458">
        <f>H22/D22*100</f>
        <v>152.40212323064114</v>
      </c>
      <c r="R22" s="458">
        <f t="shared" si="4"/>
        <v>156.6661906262591</v>
      </c>
      <c r="S22" s="506"/>
      <c r="T22" s="118"/>
    </row>
    <row r="23" spans="1:20" s="41" customFormat="1" ht="34.5" customHeight="1">
      <c r="A23" s="146">
        <v>12</v>
      </c>
      <c r="B23" s="147" t="s">
        <v>532</v>
      </c>
      <c r="C23" s="457">
        <v>4468.08</v>
      </c>
      <c r="D23" s="457"/>
      <c r="E23" s="459">
        <v>4468.08</v>
      </c>
      <c r="F23" s="457"/>
      <c r="G23" s="457">
        <f t="shared" si="5"/>
        <v>4793.737802</v>
      </c>
      <c r="H23" s="457"/>
      <c r="I23" s="459">
        <v>4748.815802</v>
      </c>
      <c r="J23" s="457"/>
      <c r="K23" s="457"/>
      <c r="L23" s="457">
        <f t="shared" si="6"/>
        <v>44.922</v>
      </c>
      <c r="M23" s="457"/>
      <c r="N23" s="457">
        <v>44.922</v>
      </c>
      <c r="O23" s="547">
        <f>510.0775+5</f>
        <v>515.0775</v>
      </c>
      <c r="P23" s="458">
        <f t="shared" si="3"/>
        <v>107.28854008880771</v>
      </c>
      <c r="Q23" s="458"/>
      <c r="R23" s="458">
        <f t="shared" si="4"/>
        <v>106.28314179692396</v>
      </c>
      <c r="S23" s="506"/>
      <c r="T23" s="118"/>
    </row>
    <row r="24" spans="1:20" s="41" customFormat="1" ht="36.75" customHeight="1">
      <c r="A24" s="146">
        <v>13</v>
      </c>
      <c r="B24" s="43" t="s">
        <v>494</v>
      </c>
      <c r="C24" s="457">
        <v>32161.61</v>
      </c>
      <c r="D24" s="457"/>
      <c r="E24" s="459">
        <v>27488.61</v>
      </c>
      <c r="F24" s="457"/>
      <c r="G24" s="457">
        <f t="shared" si="5"/>
        <v>29356.2398</v>
      </c>
      <c r="H24" s="457"/>
      <c r="I24" s="459">
        <f>29356.2398-N24</f>
        <v>26211.072799999998</v>
      </c>
      <c r="J24" s="457"/>
      <c r="K24" s="457"/>
      <c r="L24" s="457">
        <f t="shared" si="6"/>
        <v>3145.167</v>
      </c>
      <c r="M24" s="457"/>
      <c r="N24" s="457">
        <f>173+534.929+776.962+846.596+773.847+39.833</f>
        <v>3145.167</v>
      </c>
      <c r="O24" s="547">
        <f>2328.3673+128.441+1873.038+153.833+269.867+4.404+52.8975+11+20.15+1+9.35+2.65+6.2</f>
        <v>4861.197799999999</v>
      </c>
      <c r="P24" s="458">
        <f t="shared" si="3"/>
        <v>91.27727063415047</v>
      </c>
      <c r="Q24" s="458"/>
      <c r="R24" s="458">
        <f t="shared" si="4"/>
        <v>95.3524852657155</v>
      </c>
      <c r="S24" s="506"/>
      <c r="T24" s="118"/>
    </row>
    <row r="25" spans="1:20" s="41" customFormat="1" ht="36.75" customHeight="1">
      <c r="A25" s="146">
        <v>14</v>
      </c>
      <c r="B25" s="43" t="s">
        <v>452</v>
      </c>
      <c r="C25" s="457">
        <v>2349.3199999999997</v>
      </c>
      <c r="D25" s="457"/>
      <c r="E25" s="459">
        <v>966.3</v>
      </c>
      <c r="F25" s="457"/>
      <c r="G25" s="457">
        <f t="shared" si="5"/>
        <v>4080.508</v>
      </c>
      <c r="H25" s="457"/>
      <c r="I25" s="459">
        <f>4080.508-N25</f>
        <v>1586.2464999999997</v>
      </c>
      <c r="J25" s="457"/>
      <c r="K25" s="457"/>
      <c r="L25" s="457">
        <f t="shared" si="6"/>
        <v>2494.2615</v>
      </c>
      <c r="M25" s="457"/>
      <c r="N25" s="457">
        <f>1074.221+199.796+389.018+365.3465+402.88+63</f>
        <v>2494.2615</v>
      </c>
      <c r="O25" s="547">
        <f>187.779+0.02+0.204+1.14+350+10.982+14.6535+7.75+10</f>
        <v>582.5285</v>
      </c>
      <c r="P25" s="458">
        <f t="shared" si="3"/>
        <v>173.68889721281053</v>
      </c>
      <c r="Q25" s="458"/>
      <c r="R25" s="458">
        <f t="shared" si="4"/>
        <v>164.1567318638104</v>
      </c>
      <c r="S25" s="506"/>
      <c r="T25" s="118"/>
    </row>
    <row r="26" spans="1:20" s="41" customFormat="1" ht="36.75" customHeight="1">
      <c r="A26" s="146">
        <v>15</v>
      </c>
      <c r="B26" s="43" t="s">
        <v>0</v>
      </c>
      <c r="C26" s="457">
        <v>4725.55</v>
      </c>
      <c r="D26" s="457">
        <v>500</v>
      </c>
      <c r="E26" s="459">
        <v>4225.55</v>
      </c>
      <c r="F26" s="457"/>
      <c r="G26" s="457">
        <f t="shared" si="5"/>
        <v>6287.8245</v>
      </c>
      <c r="H26" s="457">
        <v>2041.856</v>
      </c>
      <c r="I26" s="459">
        <v>4130.0345</v>
      </c>
      <c r="J26" s="457"/>
      <c r="K26" s="457"/>
      <c r="L26" s="457">
        <f t="shared" si="6"/>
        <v>115.934</v>
      </c>
      <c r="M26" s="457"/>
      <c r="N26" s="457">
        <v>115.934</v>
      </c>
      <c r="O26" s="547">
        <f>14.066</f>
        <v>14.066</v>
      </c>
      <c r="P26" s="458">
        <f t="shared" si="3"/>
        <v>133.06016230914918</v>
      </c>
      <c r="Q26" s="458">
        <f>H26/D26*100</f>
        <v>408.37120000000004</v>
      </c>
      <c r="R26" s="458">
        <f t="shared" si="4"/>
        <v>97.73957236336098</v>
      </c>
      <c r="S26" s="506"/>
      <c r="T26" s="118"/>
    </row>
    <row r="27" spans="1:20" s="41" customFormat="1" ht="36.75" customHeight="1">
      <c r="A27" s="146">
        <v>16</v>
      </c>
      <c r="B27" s="147" t="s">
        <v>296</v>
      </c>
      <c r="C27" s="457">
        <v>3694.4900000000007</v>
      </c>
      <c r="D27" s="457"/>
      <c r="E27" s="459">
        <v>3694.4900000000007</v>
      </c>
      <c r="F27" s="457"/>
      <c r="G27" s="457">
        <f t="shared" si="5"/>
        <v>3322.5632</v>
      </c>
      <c r="H27" s="457"/>
      <c r="I27" s="459">
        <v>3322.5632</v>
      </c>
      <c r="J27" s="457"/>
      <c r="K27" s="457"/>
      <c r="L27" s="457">
        <f t="shared" si="6"/>
        <v>0</v>
      </c>
      <c r="M27" s="457"/>
      <c r="N27" s="457"/>
      <c r="O27" s="547">
        <v>36.3054</v>
      </c>
      <c r="P27" s="458">
        <f t="shared" si="3"/>
        <v>89.93293255632034</v>
      </c>
      <c r="Q27" s="458"/>
      <c r="R27" s="458">
        <f t="shared" si="4"/>
        <v>89.93293255632034</v>
      </c>
      <c r="S27" s="506"/>
      <c r="T27" s="118"/>
    </row>
    <row r="28" spans="1:20" s="41" customFormat="1" ht="36.75" customHeight="1">
      <c r="A28" s="146">
        <v>17</v>
      </c>
      <c r="B28" s="147" t="s">
        <v>298</v>
      </c>
      <c r="C28" s="457">
        <v>741.95</v>
      </c>
      <c r="D28" s="457"/>
      <c r="E28" s="459">
        <v>741.95</v>
      </c>
      <c r="F28" s="457"/>
      <c r="G28" s="457">
        <f t="shared" si="5"/>
        <v>874.253</v>
      </c>
      <c r="H28" s="457"/>
      <c r="I28" s="459">
        <v>874.253</v>
      </c>
      <c r="J28" s="457"/>
      <c r="K28" s="457"/>
      <c r="L28" s="457">
        <f t="shared" si="6"/>
        <v>0</v>
      </c>
      <c r="M28" s="457"/>
      <c r="N28" s="457"/>
      <c r="O28" s="547"/>
      <c r="P28" s="458">
        <f t="shared" si="3"/>
        <v>117.83179459532313</v>
      </c>
      <c r="Q28" s="458"/>
      <c r="R28" s="458">
        <f t="shared" si="4"/>
        <v>117.83179459532313</v>
      </c>
      <c r="S28" s="506"/>
      <c r="T28" s="118"/>
    </row>
    <row r="29" spans="1:21" s="41" customFormat="1" ht="36.75" customHeight="1">
      <c r="A29" s="146">
        <v>18</v>
      </c>
      <c r="B29" s="43" t="s">
        <v>457</v>
      </c>
      <c r="C29" s="457">
        <v>165.91</v>
      </c>
      <c r="D29" s="457"/>
      <c r="E29" s="459">
        <v>165.91</v>
      </c>
      <c r="F29" s="457"/>
      <c r="G29" s="457">
        <f>SUM(H29:L29)</f>
        <v>239.743</v>
      </c>
      <c r="H29" s="457"/>
      <c r="I29" s="459">
        <v>239.743</v>
      </c>
      <c r="J29" s="457"/>
      <c r="K29" s="457"/>
      <c r="L29" s="457">
        <f t="shared" si="6"/>
        <v>0</v>
      </c>
      <c r="M29" s="457"/>
      <c r="N29" s="457"/>
      <c r="O29" s="547"/>
      <c r="P29" s="458">
        <f t="shared" si="3"/>
        <v>144.50183834609126</v>
      </c>
      <c r="Q29" s="458"/>
      <c r="R29" s="458">
        <f t="shared" si="4"/>
        <v>144.50183834609126</v>
      </c>
      <c r="S29" s="506"/>
      <c r="T29" s="118"/>
      <c r="U29" s="544"/>
    </row>
    <row r="30" spans="1:21" s="41" customFormat="1" ht="36.75" customHeight="1">
      <c r="A30" s="146">
        <v>19</v>
      </c>
      <c r="B30" s="43" t="s">
        <v>456</v>
      </c>
      <c r="C30" s="457">
        <v>92.96</v>
      </c>
      <c r="D30" s="457"/>
      <c r="E30" s="459">
        <v>92.96</v>
      </c>
      <c r="F30" s="457"/>
      <c r="G30" s="457">
        <f t="shared" si="5"/>
        <v>100.664</v>
      </c>
      <c r="H30" s="457"/>
      <c r="I30" s="459">
        <v>100.664</v>
      </c>
      <c r="J30" s="457"/>
      <c r="K30" s="457"/>
      <c r="L30" s="457">
        <f t="shared" si="6"/>
        <v>0</v>
      </c>
      <c r="M30" s="457"/>
      <c r="N30" s="457"/>
      <c r="O30" s="547"/>
      <c r="P30" s="458">
        <f t="shared" si="3"/>
        <v>108.28743545611017</v>
      </c>
      <c r="Q30" s="458"/>
      <c r="R30" s="458">
        <f t="shared" si="4"/>
        <v>108.28743545611017</v>
      </c>
      <c r="S30" s="506"/>
      <c r="T30" s="118"/>
      <c r="U30" s="544"/>
    </row>
    <row r="31" spans="1:21" s="41" customFormat="1" ht="36.75" customHeight="1">
      <c r="A31" s="146">
        <v>20</v>
      </c>
      <c r="B31" s="43" t="s">
        <v>458</v>
      </c>
      <c r="C31" s="457">
        <v>93.64</v>
      </c>
      <c r="D31" s="457"/>
      <c r="E31" s="459">
        <v>93.64</v>
      </c>
      <c r="F31" s="457"/>
      <c r="G31" s="457">
        <f t="shared" si="5"/>
        <v>119.22</v>
      </c>
      <c r="H31" s="457"/>
      <c r="I31" s="459">
        <v>119.22</v>
      </c>
      <c r="J31" s="457"/>
      <c r="K31" s="457"/>
      <c r="L31" s="457">
        <f t="shared" si="6"/>
        <v>0</v>
      </c>
      <c r="M31" s="457"/>
      <c r="N31" s="457"/>
      <c r="O31" s="547"/>
      <c r="P31" s="458">
        <f t="shared" si="3"/>
        <v>127.3173857325929</v>
      </c>
      <c r="Q31" s="458"/>
      <c r="R31" s="458">
        <f t="shared" si="4"/>
        <v>127.3173857325929</v>
      </c>
      <c r="S31" s="506"/>
      <c r="T31" s="118"/>
      <c r="U31" s="544"/>
    </row>
    <row r="32" spans="1:21" s="41" customFormat="1" ht="36.75" customHeight="1">
      <c r="A32" s="146">
        <v>21</v>
      </c>
      <c r="B32" s="43" t="s">
        <v>459</v>
      </c>
      <c r="C32" s="457">
        <v>40</v>
      </c>
      <c r="D32" s="457"/>
      <c r="E32" s="459">
        <v>40</v>
      </c>
      <c r="F32" s="457"/>
      <c r="G32" s="457">
        <f t="shared" si="5"/>
        <v>70.55</v>
      </c>
      <c r="H32" s="457"/>
      <c r="I32" s="459">
        <v>70.55</v>
      </c>
      <c r="J32" s="457"/>
      <c r="K32" s="457"/>
      <c r="L32" s="457">
        <f t="shared" si="6"/>
        <v>0</v>
      </c>
      <c r="M32" s="457"/>
      <c r="N32" s="457"/>
      <c r="O32" s="547"/>
      <c r="P32" s="458">
        <f t="shared" si="3"/>
        <v>176.375</v>
      </c>
      <c r="Q32" s="458"/>
      <c r="R32" s="458">
        <f t="shared" si="4"/>
        <v>176.375</v>
      </c>
      <c r="S32" s="506"/>
      <c r="T32" s="118"/>
      <c r="U32" s="544"/>
    </row>
    <row r="33" spans="1:21" s="41" customFormat="1" ht="36.75" customHeight="1">
      <c r="A33" s="146">
        <v>22</v>
      </c>
      <c r="B33" s="43" t="s">
        <v>460</v>
      </c>
      <c r="C33" s="457">
        <v>83.64</v>
      </c>
      <c r="D33" s="457"/>
      <c r="E33" s="459">
        <v>83.64</v>
      </c>
      <c r="F33" s="457"/>
      <c r="G33" s="457">
        <f t="shared" si="5"/>
        <v>89.22</v>
      </c>
      <c r="H33" s="457"/>
      <c r="I33" s="459">
        <v>89.22</v>
      </c>
      <c r="J33" s="457"/>
      <c r="K33" s="457"/>
      <c r="L33" s="457">
        <f t="shared" si="6"/>
        <v>0</v>
      </c>
      <c r="M33" s="457"/>
      <c r="N33" s="457"/>
      <c r="O33" s="547"/>
      <c r="P33" s="458">
        <f t="shared" si="3"/>
        <v>106.67144906743185</v>
      </c>
      <c r="Q33" s="458"/>
      <c r="R33" s="458">
        <f t="shared" si="4"/>
        <v>106.67144906743185</v>
      </c>
      <c r="S33" s="506"/>
      <c r="T33" s="118"/>
      <c r="U33" s="544"/>
    </row>
    <row r="34" spans="1:31" s="41" customFormat="1" ht="36.75" customHeight="1">
      <c r="A34" s="146">
        <v>23</v>
      </c>
      <c r="B34" s="43" t="s">
        <v>461</v>
      </c>
      <c r="C34" s="457">
        <v>200.43</v>
      </c>
      <c r="D34" s="457"/>
      <c r="E34" s="459">
        <v>200.43</v>
      </c>
      <c r="F34" s="457"/>
      <c r="G34" s="457">
        <f t="shared" si="5"/>
        <v>221.196</v>
      </c>
      <c r="H34" s="457"/>
      <c r="I34" s="459">
        <v>221.196</v>
      </c>
      <c r="J34" s="457"/>
      <c r="K34" s="457"/>
      <c r="L34" s="457">
        <f t="shared" si="6"/>
        <v>0</v>
      </c>
      <c r="M34" s="457"/>
      <c r="N34" s="457"/>
      <c r="O34" s="547"/>
      <c r="P34" s="458">
        <f t="shared" si="3"/>
        <v>110.36072444244873</v>
      </c>
      <c r="Q34" s="458"/>
      <c r="R34" s="458">
        <f t="shared" si="4"/>
        <v>110.36072444244873</v>
      </c>
      <c r="S34" s="506"/>
      <c r="T34" s="119"/>
      <c r="U34" s="544"/>
      <c r="V34" s="119"/>
      <c r="W34" s="119"/>
      <c r="X34" s="119"/>
      <c r="Y34" s="119"/>
      <c r="Z34" s="119"/>
      <c r="AA34" s="119"/>
      <c r="AB34" s="119"/>
      <c r="AC34" s="119"/>
      <c r="AD34" s="119"/>
      <c r="AE34" s="119"/>
    </row>
    <row r="35" spans="1:25" s="41" customFormat="1" ht="36.75" customHeight="1">
      <c r="A35" s="146">
        <v>24</v>
      </c>
      <c r="B35" s="43" t="s">
        <v>462</v>
      </c>
      <c r="C35" s="457">
        <v>81577.35</v>
      </c>
      <c r="D35" s="457">
        <v>11056</v>
      </c>
      <c r="E35" s="459">
        <v>23294.35</v>
      </c>
      <c r="F35" s="457"/>
      <c r="G35" s="457">
        <f t="shared" si="5"/>
        <v>164856.87579999998</v>
      </c>
      <c r="H35" s="502">
        <f>(132181.501+200)-M35</f>
        <v>30405.539999999994</v>
      </c>
      <c r="I35" s="502">
        <f>27157.555+2589.7368+2828.083-100</f>
        <v>32475.374799999998</v>
      </c>
      <c r="J35" s="457"/>
      <c r="K35" s="457"/>
      <c r="L35" s="457">
        <f t="shared" si="6"/>
        <v>101975.961</v>
      </c>
      <c r="M35" s="457">
        <f>53794.418+1422.5+15244.843+1669+29845.2</f>
        <v>101975.961</v>
      </c>
      <c r="N35" s="457"/>
      <c r="O35" s="547"/>
      <c r="P35" s="458">
        <f t="shared" si="3"/>
        <v>202.086578933981</v>
      </c>
      <c r="Q35" s="458">
        <f>H35/D35*100</f>
        <v>275.0139290882778</v>
      </c>
      <c r="R35" s="458">
        <f t="shared" si="4"/>
        <v>139.41309716733886</v>
      </c>
      <c r="S35" s="506"/>
      <c r="T35" s="118"/>
      <c r="U35" s="118"/>
      <c r="V35" s="118"/>
      <c r="W35" s="118"/>
      <c r="X35" s="118"/>
      <c r="Y35" s="118"/>
    </row>
    <row r="36" spans="1:20" s="41" customFormat="1" ht="36.75" customHeight="1">
      <c r="A36" s="146">
        <v>25</v>
      </c>
      <c r="B36" s="147" t="s">
        <v>453</v>
      </c>
      <c r="C36" s="457">
        <v>22705.2</v>
      </c>
      <c r="D36" s="457"/>
      <c r="E36" s="459">
        <v>21521.2</v>
      </c>
      <c r="F36" s="457"/>
      <c r="G36" s="457">
        <f t="shared" si="5"/>
        <v>29836.138860000003</v>
      </c>
      <c r="H36" s="457"/>
      <c r="I36" s="502">
        <f>31356.1872-2589.7368</f>
        <v>28766.4504</v>
      </c>
      <c r="J36" s="457"/>
      <c r="K36" s="457"/>
      <c r="L36" s="457">
        <f t="shared" si="6"/>
        <v>1069.6884599999998</v>
      </c>
      <c r="M36" s="457"/>
      <c r="N36" s="457">
        <f>223.09986+841.5966+4.992</f>
        <v>1069.6884599999998</v>
      </c>
      <c r="O36" s="547">
        <f>262.90014+468.6034+0.008+3444.1026+21.1</f>
        <v>4196.714140000001</v>
      </c>
      <c r="P36" s="458">
        <f t="shared" si="3"/>
        <v>131.40663310607263</v>
      </c>
      <c r="Q36" s="458"/>
      <c r="R36" s="458">
        <f t="shared" si="4"/>
        <v>133.66564317974834</v>
      </c>
      <c r="S36" s="545"/>
      <c r="T36" s="601"/>
    </row>
    <row r="37" spans="1:20" s="41" customFormat="1" ht="36.75" customHeight="1">
      <c r="A37" s="146">
        <v>26</v>
      </c>
      <c r="B37" s="42" t="s">
        <v>454</v>
      </c>
      <c r="C37" s="457">
        <v>600.33</v>
      </c>
      <c r="D37" s="457"/>
      <c r="E37" s="459">
        <v>600.33</v>
      </c>
      <c r="F37" s="457"/>
      <c r="G37" s="457">
        <f t="shared" si="5"/>
        <v>832.162311</v>
      </c>
      <c r="H37" s="457"/>
      <c r="I37" s="502">
        <v>832.162311</v>
      </c>
      <c r="J37" s="457"/>
      <c r="K37" s="457"/>
      <c r="L37" s="457">
        <f t="shared" si="6"/>
        <v>0</v>
      </c>
      <c r="M37" s="457"/>
      <c r="N37" s="457"/>
      <c r="O37" s="547">
        <f>0.246689+0.639</f>
        <v>0.885689</v>
      </c>
      <c r="P37" s="458">
        <f t="shared" si="3"/>
        <v>138.61747888661236</v>
      </c>
      <c r="Q37" s="458"/>
      <c r="R37" s="458">
        <f t="shared" si="4"/>
        <v>138.61747888661236</v>
      </c>
      <c r="S37" s="506"/>
      <c r="T37" s="118"/>
    </row>
    <row r="38" spans="1:20" s="41" customFormat="1" ht="36.75" customHeight="1">
      <c r="A38" s="146">
        <v>27</v>
      </c>
      <c r="B38" s="42" t="s">
        <v>501</v>
      </c>
      <c r="C38" s="457">
        <v>681.01</v>
      </c>
      <c r="D38" s="457"/>
      <c r="E38" s="459">
        <v>681.01</v>
      </c>
      <c r="F38" s="457"/>
      <c r="G38" s="457">
        <f t="shared" si="5"/>
        <v>979.036</v>
      </c>
      <c r="H38" s="457"/>
      <c r="I38" s="502">
        <v>979.036</v>
      </c>
      <c r="J38" s="457"/>
      <c r="K38" s="457"/>
      <c r="L38" s="457">
        <f t="shared" si="6"/>
        <v>0</v>
      </c>
      <c r="M38" s="457"/>
      <c r="N38" s="457"/>
      <c r="O38" s="547"/>
      <c r="P38" s="458">
        <f t="shared" si="3"/>
        <v>143.76235297572723</v>
      </c>
      <c r="Q38" s="458"/>
      <c r="R38" s="458">
        <f t="shared" si="4"/>
        <v>143.76235297572723</v>
      </c>
      <c r="S38" s="506"/>
      <c r="T38" s="118"/>
    </row>
    <row r="39" spans="1:20" s="41" customFormat="1" ht="36.75" customHeight="1">
      <c r="A39" s="146">
        <v>28</v>
      </c>
      <c r="B39" s="147" t="s">
        <v>455</v>
      </c>
      <c r="C39" s="457">
        <v>12649.43</v>
      </c>
      <c r="D39" s="457"/>
      <c r="E39" s="459">
        <v>2438.43</v>
      </c>
      <c r="F39" s="457"/>
      <c r="G39" s="457">
        <f t="shared" si="5"/>
        <v>4260.436066</v>
      </c>
      <c r="H39" s="457"/>
      <c r="I39" s="502">
        <v>2668.8520660000004</v>
      </c>
      <c r="J39" s="457"/>
      <c r="K39" s="457"/>
      <c r="L39" s="457">
        <f t="shared" si="6"/>
        <v>1591.584</v>
      </c>
      <c r="M39" s="457"/>
      <c r="N39" s="457">
        <f>315.997+1275.587</f>
        <v>1591.584</v>
      </c>
      <c r="O39" s="547">
        <f>2821.818+0.466+111+8861.585+0.526734+0.035+8+42+165.57</f>
        <v>12011.000733999997</v>
      </c>
      <c r="P39" s="458">
        <f t="shared" si="3"/>
        <v>33.680854125442806</v>
      </c>
      <c r="Q39" s="458"/>
      <c r="R39" s="458">
        <f t="shared" si="4"/>
        <v>109.44960757536614</v>
      </c>
      <c r="S39" s="506"/>
      <c r="T39" s="546"/>
    </row>
    <row r="40" spans="1:20" s="41" customFormat="1" ht="36.75" customHeight="1">
      <c r="A40" s="146">
        <v>29</v>
      </c>
      <c r="B40" s="147" t="s">
        <v>466</v>
      </c>
      <c r="C40" s="457">
        <v>3347.97</v>
      </c>
      <c r="D40" s="457"/>
      <c r="E40" s="459">
        <v>3347.97</v>
      </c>
      <c r="F40" s="457"/>
      <c r="G40" s="457">
        <f t="shared" si="5"/>
        <v>3891.5089000000003</v>
      </c>
      <c r="H40" s="457"/>
      <c r="I40" s="502">
        <f>3678.3969+100</f>
        <v>3778.3969</v>
      </c>
      <c r="J40" s="457"/>
      <c r="K40" s="457"/>
      <c r="L40" s="457">
        <f t="shared" si="6"/>
        <v>113.112</v>
      </c>
      <c r="M40" s="457"/>
      <c r="N40" s="457">
        <f>113.112</f>
        <v>113.112</v>
      </c>
      <c r="O40" s="547">
        <f>2.981+0.126+10.598</f>
        <v>13.705</v>
      </c>
      <c r="P40" s="458">
        <f t="shared" si="3"/>
        <v>116.23487964348547</v>
      </c>
      <c r="Q40" s="458"/>
      <c r="R40" s="458">
        <f t="shared" si="4"/>
        <v>112.85635474630897</v>
      </c>
      <c r="S40" s="506"/>
      <c r="T40" s="546"/>
    </row>
    <row r="41" spans="1:20" s="41" customFormat="1" ht="36.75" customHeight="1">
      <c r="A41" s="146">
        <v>30</v>
      </c>
      <c r="B41" s="147" t="s">
        <v>467</v>
      </c>
      <c r="C41" s="457">
        <v>2107.65</v>
      </c>
      <c r="D41" s="457"/>
      <c r="E41" s="459">
        <v>2107.65</v>
      </c>
      <c r="F41" s="457"/>
      <c r="G41" s="457">
        <f t="shared" si="5"/>
        <v>2377.6519999999996</v>
      </c>
      <c r="H41" s="457"/>
      <c r="I41" s="502">
        <f>5205.735-2828.083</f>
        <v>2377.6519999999996</v>
      </c>
      <c r="J41" s="457"/>
      <c r="K41" s="457"/>
      <c r="L41" s="457">
        <f t="shared" si="6"/>
        <v>0</v>
      </c>
      <c r="M41" s="457"/>
      <c r="N41" s="457"/>
      <c r="O41" s="547"/>
      <c r="P41" s="458">
        <f t="shared" si="3"/>
        <v>112.81057101511158</v>
      </c>
      <c r="Q41" s="458"/>
      <c r="R41" s="458">
        <f t="shared" si="4"/>
        <v>112.81057101511158</v>
      </c>
      <c r="S41" s="506"/>
      <c r="T41" s="546"/>
    </row>
    <row r="42" spans="1:20" s="41" customFormat="1" ht="36" customHeight="1">
      <c r="A42" s="146">
        <v>31</v>
      </c>
      <c r="B42" s="147" t="s">
        <v>588</v>
      </c>
      <c r="C42" s="457">
        <v>6568.31</v>
      </c>
      <c r="D42" s="457"/>
      <c r="E42" s="459">
        <v>6568.31</v>
      </c>
      <c r="F42" s="457"/>
      <c r="G42" s="457">
        <f t="shared" si="5"/>
        <v>7348.5874</v>
      </c>
      <c r="H42" s="457"/>
      <c r="I42" s="502">
        <v>7348.5874</v>
      </c>
      <c r="J42" s="457"/>
      <c r="K42" s="457"/>
      <c r="L42" s="457">
        <f t="shared" si="6"/>
        <v>0</v>
      </c>
      <c r="M42" s="457"/>
      <c r="N42" s="457"/>
      <c r="O42" s="547">
        <v>1.2226</v>
      </c>
      <c r="P42" s="458">
        <f t="shared" si="3"/>
        <v>111.87942408321166</v>
      </c>
      <c r="Q42" s="458"/>
      <c r="R42" s="458">
        <f t="shared" si="4"/>
        <v>111.87942408321166</v>
      </c>
      <c r="S42" s="506"/>
      <c r="T42" s="546"/>
    </row>
    <row r="43" spans="1:20" s="41" customFormat="1" ht="36" customHeight="1">
      <c r="A43" s="146">
        <v>32</v>
      </c>
      <c r="B43" s="147" t="s">
        <v>589</v>
      </c>
      <c r="C43" s="457">
        <v>5440.25</v>
      </c>
      <c r="D43" s="457"/>
      <c r="E43" s="459">
        <v>5440.25</v>
      </c>
      <c r="F43" s="457"/>
      <c r="G43" s="457">
        <f t="shared" si="5"/>
        <v>5665.905076</v>
      </c>
      <c r="H43" s="457"/>
      <c r="I43" s="502">
        <v>5665.905076</v>
      </c>
      <c r="J43" s="457"/>
      <c r="K43" s="457"/>
      <c r="L43" s="457">
        <f t="shared" si="6"/>
        <v>0</v>
      </c>
      <c r="M43" s="457"/>
      <c r="N43" s="457"/>
      <c r="O43" s="547">
        <v>46.632</v>
      </c>
      <c r="P43" s="458">
        <f t="shared" si="3"/>
        <v>104.14788063048573</v>
      </c>
      <c r="Q43" s="458"/>
      <c r="R43" s="458">
        <f t="shared" si="4"/>
        <v>104.14788063048573</v>
      </c>
      <c r="S43" s="506"/>
      <c r="T43" s="546"/>
    </row>
    <row r="44" spans="1:20" s="41" customFormat="1" ht="36" customHeight="1">
      <c r="A44" s="146">
        <v>33</v>
      </c>
      <c r="B44" s="147" t="s">
        <v>590</v>
      </c>
      <c r="C44" s="457">
        <v>4669.59</v>
      </c>
      <c r="D44" s="457"/>
      <c r="E44" s="459">
        <v>4669.59</v>
      </c>
      <c r="F44" s="457"/>
      <c r="G44" s="457">
        <f t="shared" si="5"/>
        <v>5108.7518</v>
      </c>
      <c r="H44" s="457"/>
      <c r="I44" s="502">
        <v>5108.7518</v>
      </c>
      <c r="J44" s="457"/>
      <c r="K44" s="457"/>
      <c r="L44" s="457">
        <f t="shared" si="6"/>
        <v>0</v>
      </c>
      <c r="M44" s="457"/>
      <c r="N44" s="457"/>
      <c r="O44" s="547"/>
      <c r="P44" s="458">
        <f aca="true" t="shared" si="7" ref="P44:P75">G44/C44*100</f>
        <v>109.40471861555297</v>
      </c>
      <c r="Q44" s="458"/>
      <c r="R44" s="458">
        <f aca="true" t="shared" si="8" ref="R44:R75">I44/E44*100</f>
        <v>109.40471861555297</v>
      </c>
      <c r="S44" s="506"/>
      <c r="T44" s="118"/>
    </row>
    <row r="45" spans="1:20" s="41" customFormat="1" ht="36" customHeight="1">
      <c r="A45" s="146">
        <v>34</v>
      </c>
      <c r="B45" s="147" t="s">
        <v>591</v>
      </c>
      <c r="C45" s="457">
        <v>4428.01</v>
      </c>
      <c r="D45" s="457"/>
      <c r="E45" s="459">
        <v>4428.01</v>
      </c>
      <c r="F45" s="457"/>
      <c r="G45" s="457">
        <f t="shared" si="5"/>
        <v>5142.9682</v>
      </c>
      <c r="H45" s="457"/>
      <c r="I45" s="502">
        <v>5142.9682</v>
      </c>
      <c r="J45" s="457"/>
      <c r="K45" s="457"/>
      <c r="L45" s="457">
        <f t="shared" si="6"/>
        <v>0</v>
      </c>
      <c r="M45" s="457"/>
      <c r="N45" s="457"/>
      <c r="O45" s="547"/>
      <c r="P45" s="458">
        <f t="shared" si="7"/>
        <v>116.14626434899651</v>
      </c>
      <c r="Q45" s="458"/>
      <c r="R45" s="458">
        <f t="shared" si="8"/>
        <v>116.14626434899651</v>
      </c>
      <c r="S45" s="506"/>
      <c r="T45" s="118"/>
    </row>
    <row r="46" spans="1:20" s="41" customFormat="1" ht="36" customHeight="1">
      <c r="A46" s="146">
        <v>35</v>
      </c>
      <c r="B46" s="147" t="s">
        <v>592</v>
      </c>
      <c r="C46" s="457">
        <v>6132.125</v>
      </c>
      <c r="D46" s="457"/>
      <c r="E46" s="459">
        <v>6132.125</v>
      </c>
      <c r="F46" s="457"/>
      <c r="G46" s="457">
        <f t="shared" si="5"/>
        <v>6527.3514</v>
      </c>
      <c r="H46" s="457"/>
      <c r="I46" s="502">
        <v>6527.3514</v>
      </c>
      <c r="J46" s="457"/>
      <c r="K46" s="457"/>
      <c r="L46" s="457">
        <f t="shared" si="6"/>
        <v>0</v>
      </c>
      <c r="M46" s="457"/>
      <c r="N46" s="457"/>
      <c r="O46" s="547"/>
      <c r="P46" s="458">
        <f t="shared" si="7"/>
        <v>106.44517846586623</v>
      </c>
      <c r="Q46" s="458"/>
      <c r="R46" s="458">
        <f t="shared" si="8"/>
        <v>106.44517846586623</v>
      </c>
      <c r="S46" s="506"/>
      <c r="T46" s="118"/>
    </row>
    <row r="47" spans="1:20" s="41" customFormat="1" ht="36" customHeight="1">
      <c r="A47" s="146">
        <v>36</v>
      </c>
      <c r="B47" s="147" t="s">
        <v>593</v>
      </c>
      <c r="C47" s="457">
        <v>2778.685</v>
      </c>
      <c r="D47" s="457"/>
      <c r="E47" s="459">
        <v>2778.685</v>
      </c>
      <c r="F47" s="457"/>
      <c r="G47" s="457">
        <f t="shared" si="5"/>
        <v>3368.1931</v>
      </c>
      <c r="H47" s="457"/>
      <c r="I47" s="502">
        <v>3368.1931</v>
      </c>
      <c r="J47" s="457"/>
      <c r="K47" s="457"/>
      <c r="L47" s="457">
        <f t="shared" si="6"/>
        <v>0</v>
      </c>
      <c r="M47" s="457"/>
      <c r="N47" s="457"/>
      <c r="O47" s="547"/>
      <c r="P47" s="458">
        <f t="shared" si="7"/>
        <v>121.21536266255441</v>
      </c>
      <c r="Q47" s="458"/>
      <c r="R47" s="458">
        <f t="shared" si="8"/>
        <v>121.21536266255441</v>
      </c>
      <c r="S47" s="506"/>
      <c r="T47" s="118"/>
    </row>
    <row r="48" spans="1:20" s="41" customFormat="1" ht="36" customHeight="1">
      <c r="A48" s="146">
        <v>37</v>
      </c>
      <c r="B48" s="147" t="s">
        <v>594</v>
      </c>
      <c r="C48" s="457">
        <v>5133.515</v>
      </c>
      <c r="D48" s="457"/>
      <c r="E48" s="459">
        <v>5133.515</v>
      </c>
      <c r="F48" s="457"/>
      <c r="G48" s="457">
        <f t="shared" si="5"/>
        <v>5552.2682</v>
      </c>
      <c r="H48" s="457"/>
      <c r="I48" s="502">
        <v>5552.2682</v>
      </c>
      <c r="J48" s="457"/>
      <c r="K48" s="457"/>
      <c r="L48" s="457">
        <f t="shared" si="6"/>
        <v>0</v>
      </c>
      <c r="M48" s="457"/>
      <c r="N48" s="457"/>
      <c r="O48" s="547">
        <v>5.4733</v>
      </c>
      <c r="P48" s="458">
        <f t="shared" si="7"/>
        <v>108.15724118854236</v>
      </c>
      <c r="Q48" s="458"/>
      <c r="R48" s="458">
        <f t="shared" si="8"/>
        <v>108.15724118854236</v>
      </c>
      <c r="S48" s="506"/>
      <c r="T48" s="118"/>
    </row>
    <row r="49" spans="1:20" s="41" customFormat="1" ht="36" customHeight="1">
      <c r="A49" s="146">
        <v>38</v>
      </c>
      <c r="B49" s="147" t="s">
        <v>601</v>
      </c>
      <c r="C49" s="457">
        <v>4229.515</v>
      </c>
      <c r="D49" s="457"/>
      <c r="E49" s="459">
        <v>4229.515</v>
      </c>
      <c r="F49" s="457"/>
      <c r="G49" s="457">
        <f t="shared" si="5"/>
        <v>4588.576</v>
      </c>
      <c r="H49" s="457"/>
      <c r="I49" s="502">
        <v>4588.576</v>
      </c>
      <c r="J49" s="457"/>
      <c r="K49" s="457"/>
      <c r="L49" s="457">
        <f t="shared" si="6"/>
        <v>0</v>
      </c>
      <c r="M49" s="457"/>
      <c r="N49" s="457"/>
      <c r="O49" s="547"/>
      <c r="P49" s="458">
        <f t="shared" si="7"/>
        <v>108.48941308873475</v>
      </c>
      <c r="Q49" s="458"/>
      <c r="R49" s="458">
        <f t="shared" si="8"/>
        <v>108.48941308873475</v>
      </c>
      <c r="S49" s="506"/>
      <c r="T49" s="118"/>
    </row>
    <row r="50" spans="1:20" s="41" customFormat="1" ht="36" customHeight="1">
      <c r="A50" s="146">
        <v>39</v>
      </c>
      <c r="B50" s="147" t="s">
        <v>595</v>
      </c>
      <c r="C50" s="457">
        <v>4252.25</v>
      </c>
      <c r="D50" s="457"/>
      <c r="E50" s="459">
        <v>4252.25</v>
      </c>
      <c r="F50" s="457"/>
      <c r="G50" s="457">
        <f t="shared" si="5"/>
        <v>4600.77036</v>
      </c>
      <c r="H50" s="457"/>
      <c r="I50" s="502">
        <v>4600.77036</v>
      </c>
      <c r="J50" s="457"/>
      <c r="K50" s="457"/>
      <c r="L50" s="457">
        <f t="shared" si="6"/>
        <v>0</v>
      </c>
      <c r="M50" s="457"/>
      <c r="N50" s="457"/>
      <c r="O50" s="547"/>
      <c r="P50" s="458">
        <f t="shared" si="7"/>
        <v>108.19613992592159</v>
      </c>
      <c r="Q50" s="458"/>
      <c r="R50" s="458">
        <f t="shared" si="8"/>
        <v>108.19613992592159</v>
      </c>
      <c r="S50" s="506"/>
      <c r="T50" s="118"/>
    </row>
    <row r="51" spans="1:20" s="41" customFormat="1" ht="36" customHeight="1">
      <c r="A51" s="146">
        <v>40</v>
      </c>
      <c r="B51" s="147" t="s">
        <v>596</v>
      </c>
      <c r="C51" s="457">
        <v>7283.1</v>
      </c>
      <c r="D51" s="457"/>
      <c r="E51" s="459">
        <v>7283.1</v>
      </c>
      <c r="F51" s="457"/>
      <c r="G51" s="457">
        <f t="shared" si="5"/>
        <v>7897.030908</v>
      </c>
      <c r="H51" s="457"/>
      <c r="I51" s="502">
        <v>7897.030908</v>
      </c>
      <c r="J51" s="457"/>
      <c r="K51" s="457"/>
      <c r="L51" s="457">
        <f t="shared" si="6"/>
        <v>0</v>
      </c>
      <c r="M51" s="457"/>
      <c r="N51" s="457"/>
      <c r="O51" s="547">
        <f>88.801492+0.9792</f>
        <v>89.780692</v>
      </c>
      <c r="P51" s="458">
        <f t="shared" si="7"/>
        <v>108.42952737158626</v>
      </c>
      <c r="Q51" s="458"/>
      <c r="R51" s="458">
        <f t="shared" si="8"/>
        <v>108.42952737158626</v>
      </c>
      <c r="S51" s="506"/>
      <c r="T51" s="118"/>
    </row>
    <row r="52" spans="1:20" s="41" customFormat="1" ht="36" customHeight="1">
      <c r="A52" s="146">
        <v>41</v>
      </c>
      <c r="B52" s="147" t="s">
        <v>597</v>
      </c>
      <c r="C52" s="457">
        <v>3072.68</v>
      </c>
      <c r="D52" s="457"/>
      <c r="E52" s="459">
        <v>3072.68</v>
      </c>
      <c r="F52" s="457"/>
      <c r="G52" s="457">
        <f t="shared" si="5"/>
        <v>3406.14</v>
      </c>
      <c r="H52" s="457"/>
      <c r="I52" s="502">
        <v>3406.14</v>
      </c>
      <c r="J52" s="457"/>
      <c r="K52" s="457"/>
      <c r="L52" s="457">
        <f t="shared" si="6"/>
        <v>0</v>
      </c>
      <c r="M52" s="457"/>
      <c r="N52" s="457"/>
      <c r="O52" s="547"/>
      <c r="P52" s="458">
        <f t="shared" si="7"/>
        <v>110.85241548094822</v>
      </c>
      <c r="Q52" s="458"/>
      <c r="R52" s="458">
        <f t="shared" si="8"/>
        <v>110.85241548094822</v>
      </c>
      <c r="S52" s="506"/>
      <c r="T52" s="118"/>
    </row>
    <row r="53" spans="1:20" s="41" customFormat="1" ht="36" customHeight="1">
      <c r="A53" s="146">
        <v>42</v>
      </c>
      <c r="B53" s="147" t="s">
        <v>598</v>
      </c>
      <c r="C53" s="457">
        <v>3784.325</v>
      </c>
      <c r="D53" s="457"/>
      <c r="E53" s="459">
        <v>3784.325</v>
      </c>
      <c r="F53" s="457"/>
      <c r="G53" s="457">
        <f t="shared" si="5"/>
        <v>4259.325285</v>
      </c>
      <c r="H53" s="457"/>
      <c r="I53" s="502">
        <v>4259.325285</v>
      </c>
      <c r="J53" s="457"/>
      <c r="K53" s="457"/>
      <c r="L53" s="457">
        <f t="shared" si="6"/>
        <v>0</v>
      </c>
      <c r="M53" s="457"/>
      <c r="N53" s="457"/>
      <c r="O53" s="547">
        <f>150.605715+4.878</f>
        <v>155.48371500000002</v>
      </c>
      <c r="P53" s="458">
        <f t="shared" si="7"/>
        <v>112.55178360738046</v>
      </c>
      <c r="Q53" s="458"/>
      <c r="R53" s="458">
        <f t="shared" si="8"/>
        <v>112.55178360738046</v>
      </c>
      <c r="S53" s="506"/>
      <c r="T53" s="118"/>
    </row>
    <row r="54" spans="1:20" s="41" customFormat="1" ht="36" customHeight="1">
      <c r="A54" s="146">
        <v>43</v>
      </c>
      <c r="B54" s="147" t="s">
        <v>599</v>
      </c>
      <c r="C54" s="457">
        <v>3899.035</v>
      </c>
      <c r="D54" s="457"/>
      <c r="E54" s="459">
        <v>3899.035</v>
      </c>
      <c r="F54" s="457"/>
      <c r="G54" s="457">
        <f t="shared" si="5"/>
        <v>4338.497</v>
      </c>
      <c r="H54" s="457"/>
      <c r="I54" s="502">
        <v>4338.497</v>
      </c>
      <c r="J54" s="457"/>
      <c r="K54" s="457"/>
      <c r="L54" s="457">
        <f t="shared" si="6"/>
        <v>0</v>
      </c>
      <c r="M54" s="457"/>
      <c r="N54" s="457"/>
      <c r="O54" s="547"/>
      <c r="P54" s="458">
        <f t="shared" si="7"/>
        <v>111.2710452714582</v>
      </c>
      <c r="Q54" s="458"/>
      <c r="R54" s="458">
        <f t="shared" si="8"/>
        <v>111.2710452714582</v>
      </c>
      <c r="S54" s="506"/>
      <c r="T54" s="118"/>
    </row>
    <row r="55" spans="1:20" s="41" customFormat="1" ht="36" customHeight="1">
      <c r="A55" s="146">
        <v>44</v>
      </c>
      <c r="B55" s="147" t="s">
        <v>600</v>
      </c>
      <c r="C55" s="457">
        <v>3317.825</v>
      </c>
      <c r="D55" s="457"/>
      <c r="E55" s="459">
        <v>3317.825</v>
      </c>
      <c r="F55" s="457"/>
      <c r="G55" s="457">
        <f t="shared" si="5"/>
        <v>3983.570476</v>
      </c>
      <c r="H55" s="457"/>
      <c r="I55" s="502">
        <v>3983.570476</v>
      </c>
      <c r="J55" s="457"/>
      <c r="K55" s="457"/>
      <c r="L55" s="457">
        <f t="shared" si="6"/>
        <v>0</v>
      </c>
      <c r="M55" s="457"/>
      <c r="N55" s="457"/>
      <c r="O55" s="547"/>
      <c r="P55" s="458">
        <f t="shared" si="7"/>
        <v>120.06572004249772</v>
      </c>
      <c r="Q55" s="458"/>
      <c r="R55" s="458">
        <f t="shared" si="8"/>
        <v>120.06572004249772</v>
      </c>
      <c r="S55" s="506"/>
      <c r="T55" s="118"/>
    </row>
    <row r="56" spans="1:20" s="41" customFormat="1" ht="36" customHeight="1">
      <c r="A56" s="146">
        <v>45</v>
      </c>
      <c r="B56" s="147" t="s">
        <v>602</v>
      </c>
      <c r="C56" s="457">
        <v>2248.775</v>
      </c>
      <c r="D56" s="457"/>
      <c r="E56" s="459">
        <v>2248.775</v>
      </c>
      <c r="F56" s="457"/>
      <c r="G56" s="457">
        <f t="shared" si="5"/>
        <v>2535.7614</v>
      </c>
      <c r="H56" s="457"/>
      <c r="I56" s="502">
        <v>2535.7614</v>
      </c>
      <c r="J56" s="457"/>
      <c r="K56" s="457"/>
      <c r="L56" s="457">
        <f t="shared" si="6"/>
        <v>0</v>
      </c>
      <c r="M56" s="457"/>
      <c r="N56" s="457"/>
      <c r="O56" s="547"/>
      <c r="P56" s="458">
        <f t="shared" si="7"/>
        <v>112.76189925626173</v>
      </c>
      <c r="Q56" s="458"/>
      <c r="R56" s="458">
        <f t="shared" si="8"/>
        <v>112.76189925626173</v>
      </c>
      <c r="S56" s="506"/>
      <c r="T56" s="118"/>
    </row>
    <row r="57" spans="1:20" s="41" customFormat="1" ht="36" customHeight="1">
      <c r="A57" s="146">
        <v>46</v>
      </c>
      <c r="B57" s="147" t="s">
        <v>603</v>
      </c>
      <c r="C57" s="457">
        <v>3161.145</v>
      </c>
      <c r="D57" s="457"/>
      <c r="E57" s="459">
        <v>3161.145</v>
      </c>
      <c r="F57" s="457"/>
      <c r="G57" s="457">
        <f t="shared" si="5"/>
        <v>3346.2402</v>
      </c>
      <c r="H57" s="457"/>
      <c r="I57" s="502">
        <v>3346.2402</v>
      </c>
      <c r="J57" s="457"/>
      <c r="K57" s="457"/>
      <c r="L57" s="457">
        <f t="shared" si="6"/>
        <v>0</v>
      </c>
      <c r="M57" s="457"/>
      <c r="N57" s="457"/>
      <c r="O57" s="547"/>
      <c r="P57" s="458">
        <f t="shared" si="7"/>
        <v>105.85532141043832</v>
      </c>
      <c r="Q57" s="458"/>
      <c r="R57" s="458">
        <f t="shared" si="8"/>
        <v>105.85532141043832</v>
      </c>
      <c r="S57" s="506"/>
      <c r="T57" s="118"/>
    </row>
    <row r="58" spans="1:20" s="41" customFormat="1" ht="36" customHeight="1">
      <c r="A58" s="146">
        <v>47</v>
      </c>
      <c r="B58" s="147" t="s">
        <v>604</v>
      </c>
      <c r="C58" s="457">
        <v>2338.615</v>
      </c>
      <c r="D58" s="457"/>
      <c r="E58" s="459">
        <v>2338.615</v>
      </c>
      <c r="F58" s="457"/>
      <c r="G58" s="457">
        <f t="shared" si="5"/>
        <v>2733.891</v>
      </c>
      <c r="H58" s="457"/>
      <c r="I58" s="502">
        <v>2733.891</v>
      </c>
      <c r="J58" s="457"/>
      <c r="K58" s="457"/>
      <c r="L58" s="457">
        <f t="shared" si="6"/>
        <v>0</v>
      </c>
      <c r="M58" s="457"/>
      <c r="N58" s="457"/>
      <c r="O58" s="547"/>
      <c r="P58" s="458">
        <f t="shared" si="7"/>
        <v>116.9021407970102</v>
      </c>
      <c r="Q58" s="458"/>
      <c r="R58" s="458">
        <f t="shared" si="8"/>
        <v>116.9021407970102</v>
      </c>
      <c r="S58" s="506"/>
      <c r="T58" s="118"/>
    </row>
    <row r="59" spans="1:20" s="41" customFormat="1" ht="36" customHeight="1">
      <c r="A59" s="146">
        <v>48</v>
      </c>
      <c r="B59" s="147" t="s">
        <v>605</v>
      </c>
      <c r="C59" s="457">
        <v>2699.195</v>
      </c>
      <c r="D59" s="457"/>
      <c r="E59" s="459">
        <v>2699.195</v>
      </c>
      <c r="F59" s="457"/>
      <c r="G59" s="457">
        <f t="shared" si="5"/>
        <v>3184.34</v>
      </c>
      <c r="H59" s="457"/>
      <c r="I59" s="502">
        <v>3184.34</v>
      </c>
      <c r="J59" s="457"/>
      <c r="K59" s="457"/>
      <c r="L59" s="457">
        <f t="shared" si="6"/>
        <v>0</v>
      </c>
      <c r="M59" s="457"/>
      <c r="N59" s="457"/>
      <c r="O59" s="547">
        <v>32.839</v>
      </c>
      <c r="P59" s="458">
        <f t="shared" si="7"/>
        <v>117.97369215636513</v>
      </c>
      <c r="Q59" s="458"/>
      <c r="R59" s="458">
        <f t="shared" si="8"/>
        <v>117.97369215636513</v>
      </c>
      <c r="S59" s="506"/>
      <c r="T59" s="118"/>
    </row>
    <row r="60" spans="1:20" s="41" customFormat="1" ht="36" customHeight="1">
      <c r="A60" s="146">
        <v>49</v>
      </c>
      <c r="B60" s="147" t="s">
        <v>606</v>
      </c>
      <c r="C60" s="457">
        <v>7090.54</v>
      </c>
      <c r="D60" s="457"/>
      <c r="E60" s="459">
        <v>7090.54</v>
      </c>
      <c r="F60" s="457"/>
      <c r="G60" s="457">
        <f t="shared" si="5"/>
        <v>7612.689654</v>
      </c>
      <c r="H60" s="457"/>
      <c r="I60" s="459">
        <v>7612.689654</v>
      </c>
      <c r="J60" s="457"/>
      <c r="K60" s="457"/>
      <c r="L60" s="457">
        <f t="shared" si="6"/>
        <v>0</v>
      </c>
      <c r="M60" s="457"/>
      <c r="N60" s="457"/>
      <c r="O60" s="547">
        <v>525.577846</v>
      </c>
      <c r="P60" s="458">
        <f t="shared" si="7"/>
        <v>107.36403227398759</v>
      </c>
      <c r="Q60" s="458"/>
      <c r="R60" s="458">
        <f t="shared" si="8"/>
        <v>107.36403227398759</v>
      </c>
      <c r="S60" s="506"/>
      <c r="T60" s="118"/>
    </row>
    <row r="61" spans="1:20" s="41" customFormat="1" ht="36" customHeight="1">
      <c r="A61" s="146">
        <v>50</v>
      </c>
      <c r="B61" s="147" t="s">
        <v>607</v>
      </c>
      <c r="C61" s="457">
        <v>6427.452</v>
      </c>
      <c r="D61" s="457"/>
      <c r="E61" s="459">
        <v>6427.452</v>
      </c>
      <c r="F61" s="457"/>
      <c r="G61" s="457">
        <f t="shared" si="5"/>
        <v>6943.7967</v>
      </c>
      <c r="H61" s="457"/>
      <c r="I61" s="459">
        <v>6943.7967</v>
      </c>
      <c r="J61" s="457"/>
      <c r="K61" s="457"/>
      <c r="L61" s="457">
        <f t="shared" si="6"/>
        <v>0</v>
      </c>
      <c r="M61" s="457"/>
      <c r="N61" s="457"/>
      <c r="O61" s="547">
        <v>40.8263</v>
      </c>
      <c r="P61" s="458">
        <f t="shared" si="7"/>
        <v>108.03342755418477</v>
      </c>
      <c r="Q61" s="458"/>
      <c r="R61" s="458">
        <f t="shared" si="8"/>
        <v>108.03342755418477</v>
      </c>
      <c r="S61" s="506"/>
      <c r="T61" s="118"/>
    </row>
    <row r="62" spans="1:20" s="41" customFormat="1" ht="36" customHeight="1">
      <c r="A62" s="146">
        <v>51</v>
      </c>
      <c r="B62" s="147" t="s">
        <v>608</v>
      </c>
      <c r="C62" s="457">
        <v>4118.6</v>
      </c>
      <c r="D62" s="457"/>
      <c r="E62" s="459">
        <v>4118.6</v>
      </c>
      <c r="F62" s="457"/>
      <c r="G62" s="457">
        <f t="shared" si="5"/>
        <v>4697.275</v>
      </c>
      <c r="H62" s="457"/>
      <c r="I62" s="459">
        <v>4697.275</v>
      </c>
      <c r="J62" s="457"/>
      <c r="K62" s="457"/>
      <c r="L62" s="457">
        <f t="shared" si="6"/>
        <v>0</v>
      </c>
      <c r="M62" s="457"/>
      <c r="N62" s="457"/>
      <c r="O62" s="547"/>
      <c r="P62" s="458">
        <f t="shared" si="7"/>
        <v>114.05028407711357</v>
      </c>
      <c r="Q62" s="458"/>
      <c r="R62" s="458">
        <f t="shared" si="8"/>
        <v>114.05028407711357</v>
      </c>
      <c r="S62" s="506"/>
      <c r="T62" s="118"/>
    </row>
    <row r="63" spans="1:20" s="41" customFormat="1" ht="36" customHeight="1">
      <c r="A63" s="146">
        <v>52</v>
      </c>
      <c r="B63" s="147" t="s">
        <v>609</v>
      </c>
      <c r="C63" s="457">
        <v>7927.113</v>
      </c>
      <c r="D63" s="457"/>
      <c r="E63" s="459">
        <v>7927.113</v>
      </c>
      <c r="F63" s="457"/>
      <c r="G63" s="457">
        <f t="shared" si="5"/>
        <v>8860.019</v>
      </c>
      <c r="H63" s="457"/>
      <c r="I63" s="459">
        <v>8860.019</v>
      </c>
      <c r="J63" s="457"/>
      <c r="K63" s="457"/>
      <c r="L63" s="457">
        <f t="shared" si="6"/>
        <v>0</v>
      </c>
      <c r="M63" s="457"/>
      <c r="N63" s="457"/>
      <c r="O63" s="547"/>
      <c r="P63" s="458">
        <f t="shared" si="7"/>
        <v>111.76854675844787</v>
      </c>
      <c r="Q63" s="458"/>
      <c r="R63" s="458">
        <f t="shared" si="8"/>
        <v>111.76854675844787</v>
      </c>
      <c r="S63" s="506"/>
      <c r="T63" s="118"/>
    </row>
    <row r="64" spans="1:20" s="41" customFormat="1" ht="36" customHeight="1">
      <c r="A64" s="146">
        <v>53</v>
      </c>
      <c r="B64" s="147" t="s">
        <v>610</v>
      </c>
      <c r="C64" s="457">
        <v>6356.822</v>
      </c>
      <c r="D64" s="457"/>
      <c r="E64" s="459">
        <v>6356.822</v>
      </c>
      <c r="F64" s="457"/>
      <c r="G64" s="457">
        <f t="shared" si="5"/>
        <v>7079.626</v>
      </c>
      <c r="H64" s="457"/>
      <c r="I64" s="459">
        <v>7079.626</v>
      </c>
      <c r="J64" s="457"/>
      <c r="K64" s="457"/>
      <c r="L64" s="457">
        <f t="shared" si="6"/>
        <v>0</v>
      </c>
      <c r="M64" s="457"/>
      <c r="N64" s="457"/>
      <c r="O64" s="547"/>
      <c r="P64" s="458">
        <f t="shared" si="7"/>
        <v>111.3705244538859</v>
      </c>
      <c r="Q64" s="458"/>
      <c r="R64" s="458">
        <f t="shared" si="8"/>
        <v>111.3705244538859</v>
      </c>
      <c r="S64" s="506"/>
      <c r="T64" s="118"/>
    </row>
    <row r="65" spans="1:20" s="41" customFormat="1" ht="36" customHeight="1">
      <c r="A65" s="146">
        <v>54</v>
      </c>
      <c r="B65" s="147" t="s">
        <v>611</v>
      </c>
      <c r="C65" s="457">
        <v>3731.93</v>
      </c>
      <c r="D65" s="457"/>
      <c r="E65" s="459">
        <v>3731.93</v>
      </c>
      <c r="F65" s="457"/>
      <c r="G65" s="457">
        <f t="shared" si="5"/>
        <v>4219.03647</v>
      </c>
      <c r="H65" s="457"/>
      <c r="I65" s="459">
        <v>4219.03647</v>
      </c>
      <c r="J65" s="457"/>
      <c r="K65" s="457"/>
      <c r="L65" s="457">
        <f t="shared" si="6"/>
        <v>0</v>
      </c>
      <c r="M65" s="457"/>
      <c r="N65" s="457"/>
      <c r="O65" s="547">
        <v>18.48953</v>
      </c>
      <c r="P65" s="458">
        <f t="shared" si="7"/>
        <v>113.05240103646103</v>
      </c>
      <c r="Q65" s="458"/>
      <c r="R65" s="458">
        <f t="shared" si="8"/>
        <v>113.05240103646103</v>
      </c>
      <c r="S65" s="506"/>
      <c r="T65" s="118"/>
    </row>
    <row r="66" spans="1:20" s="41" customFormat="1" ht="36" customHeight="1">
      <c r="A66" s="146">
        <v>55</v>
      </c>
      <c r="B66" s="147" t="s">
        <v>612</v>
      </c>
      <c r="C66" s="457">
        <v>3432.612</v>
      </c>
      <c r="D66" s="457"/>
      <c r="E66" s="459">
        <v>3432.612</v>
      </c>
      <c r="F66" s="457"/>
      <c r="G66" s="457">
        <f t="shared" si="5"/>
        <v>3698.583</v>
      </c>
      <c r="H66" s="457"/>
      <c r="I66" s="459">
        <v>3698.583</v>
      </c>
      <c r="J66" s="457"/>
      <c r="K66" s="457"/>
      <c r="L66" s="457">
        <f t="shared" si="6"/>
        <v>0</v>
      </c>
      <c r="M66" s="457"/>
      <c r="N66" s="457"/>
      <c r="O66" s="547">
        <v>46.01</v>
      </c>
      <c r="P66" s="458">
        <f t="shared" si="7"/>
        <v>107.7483560623805</v>
      </c>
      <c r="Q66" s="458"/>
      <c r="R66" s="458">
        <f t="shared" si="8"/>
        <v>107.7483560623805</v>
      </c>
      <c r="S66" s="506"/>
      <c r="T66" s="118"/>
    </row>
    <row r="67" spans="1:20" s="41" customFormat="1" ht="36" customHeight="1">
      <c r="A67" s="146">
        <v>56</v>
      </c>
      <c r="B67" s="147" t="s">
        <v>613</v>
      </c>
      <c r="C67" s="457">
        <v>8354.002</v>
      </c>
      <c r="D67" s="457"/>
      <c r="E67" s="459">
        <v>8354.002</v>
      </c>
      <c r="F67" s="457"/>
      <c r="G67" s="457">
        <f t="shared" si="5"/>
        <v>9752.176594</v>
      </c>
      <c r="H67" s="457"/>
      <c r="I67" s="459">
        <v>9752.176594</v>
      </c>
      <c r="J67" s="457"/>
      <c r="K67" s="457"/>
      <c r="L67" s="457">
        <f t="shared" si="6"/>
        <v>0</v>
      </c>
      <c r="M67" s="457"/>
      <c r="N67" s="457"/>
      <c r="O67" s="547">
        <v>91.183106</v>
      </c>
      <c r="P67" s="458">
        <f t="shared" si="7"/>
        <v>116.73658438195251</v>
      </c>
      <c r="Q67" s="458"/>
      <c r="R67" s="458">
        <f t="shared" si="8"/>
        <v>116.73658438195251</v>
      </c>
      <c r="S67" s="506"/>
      <c r="T67" s="118"/>
    </row>
    <row r="68" spans="1:20" s="41" customFormat="1" ht="36" customHeight="1">
      <c r="A68" s="146">
        <v>57</v>
      </c>
      <c r="B68" s="147" t="s">
        <v>614</v>
      </c>
      <c r="C68" s="457">
        <v>4389.619</v>
      </c>
      <c r="D68" s="457"/>
      <c r="E68" s="459">
        <v>4389.619</v>
      </c>
      <c r="F68" s="457"/>
      <c r="G68" s="457">
        <f t="shared" si="5"/>
        <v>4699.00071</v>
      </c>
      <c r="H68" s="457"/>
      <c r="I68" s="459">
        <v>4699.00071</v>
      </c>
      <c r="J68" s="457"/>
      <c r="K68" s="457"/>
      <c r="L68" s="457">
        <f t="shared" si="6"/>
        <v>0</v>
      </c>
      <c r="M68" s="457"/>
      <c r="N68" s="457"/>
      <c r="O68" s="547">
        <v>35.78229</v>
      </c>
      <c r="P68" s="458">
        <f t="shared" si="7"/>
        <v>107.0480310477971</v>
      </c>
      <c r="Q68" s="458"/>
      <c r="R68" s="458">
        <f t="shared" si="8"/>
        <v>107.0480310477971</v>
      </c>
      <c r="S68" s="506"/>
      <c r="T68" s="118"/>
    </row>
    <row r="69" spans="1:20" s="41" customFormat="1" ht="36" customHeight="1">
      <c r="A69" s="146">
        <v>58</v>
      </c>
      <c r="B69" s="147" t="s">
        <v>615</v>
      </c>
      <c r="C69" s="457">
        <v>3293.015</v>
      </c>
      <c r="D69" s="457"/>
      <c r="E69" s="459">
        <v>3293.015</v>
      </c>
      <c r="F69" s="457"/>
      <c r="G69" s="457">
        <f t="shared" si="5"/>
        <v>3534.675</v>
      </c>
      <c r="H69" s="457"/>
      <c r="I69" s="459">
        <f>3534.675</f>
        <v>3534.675</v>
      </c>
      <c r="J69" s="457"/>
      <c r="K69" s="457"/>
      <c r="L69" s="457">
        <f t="shared" si="6"/>
        <v>0</v>
      </c>
      <c r="M69" s="457"/>
      <c r="N69" s="457"/>
      <c r="O69" s="547"/>
      <c r="P69" s="458">
        <f t="shared" si="7"/>
        <v>107.33856359597513</v>
      </c>
      <c r="Q69" s="458"/>
      <c r="R69" s="458">
        <f t="shared" si="8"/>
        <v>107.33856359597513</v>
      </c>
      <c r="S69" s="506"/>
      <c r="T69" s="118"/>
    </row>
    <row r="70" spans="1:20" s="41" customFormat="1" ht="36" customHeight="1">
      <c r="A70" s="146">
        <v>59</v>
      </c>
      <c r="B70" s="147" t="s">
        <v>782</v>
      </c>
      <c r="C70" s="457">
        <v>5172.424</v>
      </c>
      <c r="D70" s="457"/>
      <c r="E70" s="459">
        <v>5172.424</v>
      </c>
      <c r="F70" s="457"/>
      <c r="G70" s="457">
        <f t="shared" si="5"/>
        <v>3438.8197</v>
      </c>
      <c r="H70" s="457"/>
      <c r="I70" s="459">
        <v>3438.8197</v>
      </c>
      <c r="J70" s="457"/>
      <c r="K70" s="457"/>
      <c r="L70" s="457"/>
      <c r="M70" s="457"/>
      <c r="N70" s="457"/>
      <c r="O70" s="547"/>
      <c r="P70" s="458">
        <f t="shared" si="7"/>
        <v>66.48371633879975</v>
      </c>
      <c r="Q70" s="458"/>
      <c r="R70" s="458">
        <f t="shared" si="8"/>
        <v>66.48371633879975</v>
      </c>
      <c r="S70" s="506"/>
      <c r="T70" s="118"/>
    </row>
    <row r="71" spans="1:20" s="41" customFormat="1" ht="36" customHeight="1">
      <c r="A71" s="146">
        <v>60</v>
      </c>
      <c r="B71" s="147" t="s">
        <v>616</v>
      </c>
      <c r="C71" s="457">
        <v>5080.8</v>
      </c>
      <c r="D71" s="457"/>
      <c r="E71" s="459">
        <v>5080.8</v>
      </c>
      <c r="F71" s="457"/>
      <c r="G71" s="457">
        <f t="shared" si="5"/>
        <v>5466.09</v>
      </c>
      <c r="H71" s="457"/>
      <c r="I71" s="459">
        <v>5466.09</v>
      </c>
      <c r="J71" s="457"/>
      <c r="K71" s="457"/>
      <c r="L71" s="457">
        <f t="shared" si="6"/>
        <v>0</v>
      </c>
      <c r="M71" s="457"/>
      <c r="N71" s="457"/>
      <c r="O71" s="547">
        <v>23.69</v>
      </c>
      <c r="P71" s="458">
        <f t="shared" si="7"/>
        <v>107.58325460557391</v>
      </c>
      <c r="Q71" s="458"/>
      <c r="R71" s="458">
        <f t="shared" si="8"/>
        <v>107.58325460557391</v>
      </c>
      <c r="S71" s="506"/>
      <c r="T71" s="118"/>
    </row>
    <row r="72" spans="1:20" s="41" customFormat="1" ht="36" customHeight="1">
      <c r="A72" s="146">
        <v>61</v>
      </c>
      <c r="B72" s="147" t="s">
        <v>617</v>
      </c>
      <c r="C72" s="457">
        <v>3166.748</v>
      </c>
      <c r="D72" s="457"/>
      <c r="E72" s="459">
        <v>3166.748</v>
      </c>
      <c r="F72" s="457"/>
      <c r="G72" s="457">
        <f t="shared" si="5"/>
        <v>3260.730416</v>
      </c>
      <c r="H72" s="457"/>
      <c r="I72" s="459">
        <v>3260.730416</v>
      </c>
      <c r="J72" s="457"/>
      <c r="K72" s="457"/>
      <c r="L72" s="457">
        <f t="shared" si="6"/>
        <v>0</v>
      </c>
      <c r="M72" s="457"/>
      <c r="N72" s="457"/>
      <c r="O72" s="547">
        <v>185.633384</v>
      </c>
      <c r="P72" s="458">
        <f t="shared" si="7"/>
        <v>102.96778954308962</v>
      </c>
      <c r="Q72" s="458"/>
      <c r="R72" s="458">
        <f t="shared" si="8"/>
        <v>102.96778954308962</v>
      </c>
      <c r="S72" s="506"/>
      <c r="T72" s="118"/>
    </row>
    <row r="73" spans="1:20" s="41" customFormat="1" ht="36" customHeight="1">
      <c r="A73" s="146">
        <v>62</v>
      </c>
      <c r="B73" s="147" t="s">
        <v>618</v>
      </c>
      <c r="C73" s="457">
        <v>2976.14</v>
      </c>
      <c r="D73" s="457"/>
      <c r="E73" s="459">
        <v>2976.14</v>
      </c>
      <c r="F73" s="457"/>
      <c r="G73" s="457">
        <f t="shared" si="5"/>
        <v>3351.636</v>
      </c>
      <c r="H73" s="457"/>
      <c r="I73" s="459">
        <v>3351.636</v>
      </c>
      <c r="J73" s="457"/>
      <c r="K73" s="457"/>
      <c r="L73" s="457">
        <f t="shared" si="6"/>
        <v>0</v>
      </c>
      <c r="M73" s="457"/>
      <c r="N73" s="457"/>
      <c r="O73" s="547"/>
      <c r="P73" s="458">
        <f t="shared" si="7"/>
        <v>112.61687958227773</v>
      </c>
      <c r="Q73" s="458"/>
      <c r="R73" s="458">
        <f t="shared" si="8"/>
        <v>112.61687958227773</v>
      </c>
      <c r="S73" s="506"/>
      <c r="T73" s="118"/>
    </row>
    <row r="74" spans="1:20" s="41" customFormat="1" ht="36" customHeight="1">
      <c r="A74" s="146">
        <v>63</v>
      </c>
      <c r="B74" s="147" t="s">
        <v>619</v>
      </c>
      <c r="C74" s="457">
        <v>9055.37</v>
      </c>
      <c r="D74" s="457"/>
      <c r="E74" s="459">
        <v>9055.37</v>
      </c>
      <c r="F74" s="457"/>
      <c r="G74" s="457">
        <f t="shared" si="5"/>
        <v>9925.050049</v>
      </c>
      <c r="H74" s="457"/>
      <c r="I74" s="459">
        <v>9925.050049</v>
      </c>
      <c r="J74" s="457"/>
      <c r="K74" s="457"/>
      <c r="L74" s="457">
        <f t="shared" si="6"/>
        <v>0</v>
      </c>
      <c r="M74" s="457"/>
      <c r="N74" s="457"/>
      <c r="O74" s="547">
        <v>56.617951</v>
      </c>
      <c r="P74" s="458">
        <f t="shared" si="7"/>
        <v>109.60402555610646</v>
      </c>
      <c r="Q74" s="458"/>
      <c r="R74" s="458">
        <f t="shared" si="8"/>
        <v>109.60402555610646</v>
      </c>
      <c r="S74" s="506"/>
      <c r="T74" s="118"/>
    </row>
    <row r="75" spans="1:20" s="41" customFormat="1" ht="36" customHeight="1">
      <c r="A75" s="146">
        <v>64</v>
      </c>
      <c r="B75" s="147" t="s">
        <v>620</v>
      </c>
      <c r="C75" s="457">
        <v>4994.85</v>
      </c>
      <c r="D75" s="457"/>
      <c r="E75" s="459">
        <v>4994.85</v>
      </c>
      <c r="F75" s="457"/>
      <c r="G75" s="457">
        <f t="shared" si="5"/>
        <v>5798.195</v>
      </c>
      <c r="H75" s="457"/>
      <c r="I75" s="459">
        <v>5798.195</v>
      </c>
      <c r="J75" s="457"/>
      <c r="K75" s="457"/>
      <c r="L75" s="457">
        <f t="shared" si="6"/>
        <v>0</v>
      </c>
      <c r="M75" s="457"/>
      <c r="N75" s="457"/>
      <c r="O75" s="547"/>
      <c r="P75" s="458">
        <f t="shared" si="7"/>
        <v>116.08346596994903</v>
      </c>
      <c r="Q75" s="458"/>
      <c r="R75" s="458">
        <f t="shared" si="8"/>
        <v>116.08346596994903</v>
      </c>
      <c r="S75" s="506"/>
      <c r="T75" s="118"/>
    </row>
    <row r="76" spans="1:20" s="41" customFormat="1" ht="36" customHeight="1">
      <c r="A76" s="146">
        <v>65</v>
      </c>
      <c r="B76" s="147" t="s">
        <v>621</v>
      </c>
      <c r="C76" s="457">
        <v>3171.12</v>
      </c>
      <c r="D76" s="457"/>
      <c r="E76" s="459">
        <v>3171.12</v>
      </c>
      <c r="F76" s="457"/>
      <c r="G76" s="457">
        <f t="shared" si="5"/>
        <v>3456.815899</v>
      </c>
      <c r="H76" s="457"/>
      <c r="I76" s="459">
        <v>3456.815899</v>
      </c>
      <c r="J76" s="457"/>
      <c r="K76" s="457"/>
      <c r="L76" s="457">
        <f t="shared" si="6"/>
        <v>0</v>
      </c>
      <c r="M76" s="457"/>
      <c r="N76" s="457"/>
      <c r="O76" s="547">
        <f>0.229646+19.290455</f>
        <v>19.520101</v>
      </c>
      <c r="P76" s="458">
        <f aca="true" t="shared" si="9" ref="P76:P85">G76/C76*100</f>
        <v>109.00930582885542</v>
      </c>
      <c r="Q76" s="458"/>
      <c r="R76" s="458">
        <f aca="true" t="shared" si="10" ref="R76:R85">I76/E76*100</f>
        <v>109.00930582885542</v>
      </c>
      <c r="S76" s="506"/>
      <c r="T76" s="118"/>
    </row>
    <row r="77" spans="1:20" s="41" customFormat="1" ht="36" customHeight="1">
      <c r="A77" s="146">
        <v>66</v>
      </c>
      <c r="B77" s="147" t="s">
        <v>622</v>
      </c>
      <c r="C77" s="457">
        <v>4013.41</v>
      </c>
      <c r="D77" s="457"/>
      <c r="E77" s="459">
        <v>4013.41</v>
      </c>
      <c r="F77" s="457"/>
      <c r="G77" s="457">
        <f t="shared" si="5"/>
        <v>4650.788</v>
      </c>
      <c r="H77" s="457"/>
      <c r="I77" s="459">
        <v>4650.788</v>
      </c>
      <c r="J77" s="457"/>
      <c r="K77" s="457"/>
      <c r="L77" s="457">
        <f t="shared" si="6"/>
        <v>0</v>
      </c>
      <c r="M77" s="457"/>
      <c r="N77" s="457"/>
      <c r="O77" s="547"/>
      <c r="P77" s="458">
        <f t="shared" si="9"/>
        <v>115.88120824934407</v>
      </c>
      <c r="Q77" s="458"/>
      <c r="R77" s="458">
        <f t="shared" si="10"/>
        <v>115.88120824934407</v>
      </c>
      <c r="S77" s="506"/>
      <c r="T77" s="118"/>
    </row>
    <row r="78" spans="1:20" s="41" customFormat="1" ht="36" customHeight="1">
      <c r="A78" s="146">
        <v>67</v>
      </c>
      <c r="B78" s="147" t="s">
        <v>624</v>
      </c>
      <c r="C78" s="457">
        <v>4704.43</v>
      </c>
      <c r="D78" s="457"/>
      <c r="E78" s="459">
        <v>4704.43</v>
      </c>
      <c r="F78" s="457"/>
      <c r="G78" s="457">
        <f aca="true" t="shared" si="11" ref="G78:G108">SUM(H78:L78)</f>
        <v>5248.576</v>
      </c>
      <c r="H78" s="457"/>
      <c r="I78" s="502">
        <v>5248.576</v>
      </c>
      <c r="J78" s="457"/>
      <c r="K78" s="457"/>
      <c r="L78" s="457">
        <f aca="true" t="shared" si="12" ref="L78:L108">M78+N78</f>
        <v>0</v>
      </c>
      <c r="M78" s="457"/>
      <c r="N78" s="457"/>
      <c r="O78" s="547">
        <v>25.058</v>
      </c>
      <c r="P78" s="458">
        <f t="shared" si="9"/>
        <v>111.56667226422753</v>
      </c>
      <c r="Q78" s="458"/>
      <c r="R78" s="458">
        <f t="shared" si="10"/>
        <v>111.56667226422753</v>
      </c>
      <c r="S78" s="506"/>
      <c r="T78" s="118"/>
    </row>
    <row r="79" spans="1:20" s="41" customFormat="1" ht="36" customHeight="1">
      <c r="A79" s="146">
        <v>68</v>
      </c>
      <c r="B79" s="147" t="s">
        <v>322</v>
      </c>
      <c r="C79" s="457">
        <v>3615.202</v>
      </c>
      <c r="D79" s="457"/>
      <c r="E79" s="459">
        <v>3615.202</v>
      </c>
      <c r="F79" s="457"/>
      <c r="G79" s="457">
        <f t="shared" si="11"/>
        <v>4232.7815</v>
      </c>
      <c r="H79" s="457"/>
      <c r="I79" s="502">
        <v>4232.7815</v>
      </c>
      <c r="J79" s="457"/>
      <c r="K79" s="457"/>
      <c r="L79" s="457">
        <f t="shared" si="12"/>
        <v>0</v>
      </c>
      <c r="M79" s="457"/>
      <c r="N79" s="457"/>
      <c r="O79" s="547">
        <v>5.7645</v>
      </c>
      <c r="P79" s="458">
        <f t="shared" si="9"/>
        <v>117.08284903582151</v>
      </c>
      <c r="Q79" s="458"/>
      <c r="R79" s="458">
        <f t="shared" si="10"/>
        <v>117.08284903582151</v>
      </c>
      <c r="S79" s="506"/>
      <c r="T79" s="118"/>
    </row>
    <row r="80" spans="1:20" s="41" customFormat="1" ht="36" customHeight="1">
      <c r="A80" s="146">
        <v>69</v>
      </c>
      <c r="B80" s="147" t="s">
        <v>323</v>
      </c>
      <c r="C80" s="457">
        <v>3343.455</v>
      </c>
      <c r="D80" s="457"/>
      <c r="E80" s="459">
        <v>3343.455</v>
      </c>
      <c r="F80" s="457"/>
      <c r="G80" s="457">
        <f t="shared" si="11"/>
        <v>3709.0685</v>
      </c>
      <c r="H80" s="457"/>
      <c r="I80" s="502">
        <v>3709.0685</v>
      </c>
      <c r="J80" s="457"/>
      <c r="K80" s="457"/>
      <c r="L80" s="457">
        <f t="shared" si="12"/>
        <v>0</v>
      </c>
      <c r="M80" s="457"/>
      <c r="N80" s="457"/>
      <c r="O80" s="547">
        <v>2.2645</v>
      </c>
      <c r="P80" s="458">
        <f t="shared" si="9"/>
        <v>110.93520026439717</v>
      </c>
      <c r="Q80" s="458"/>
      <c r="R80" s="458">
        <f t="shared" si="10"/>
        <v>110.93520026439717</v>
      </c>
      <c r="S80" s="506"/>
      <c r="T80" s="118"/>
    </row>
    <row r="81" spans="1:20" s="41" customFormat="1" ht="36" customHeight="1">
      <c r="A81" s="146">
        <v>70</v>
      </c>
      <c r="B81" s="147" t="s">
        <v>324</v>
      </c>
      <c r="C81" s="457">
        <v>7392.488</v>
      </c>
      <c r="D81" s="457"/>
      <c r="E81" s="459">
        <v>7392.488</v>
      </c>
      <c r="F81" s="457"/>
      <c r="G81" s="457">
        <f t="shared" si="11"/>
        <v>7985.923</v>
      </c>
      <c r="H81" s="457"/>
      <c r="I81" s="502">
        <v>7985.923</v>
      </c>
      <c r="J81" s="457"/>
      <c r="K81" s="457"/>
      <c r="L81" s="457">
        <f t="shared" si="12"/>
        <v>0</v>
      </c>
      <c r="M81" s="457"/>
      <c r="N81" s="457"/>
      <c r="O81" s="547"/>
      <c r="P81" s="458">
        <f t="shared" si="9"/>
        <v>108.0275409307394</v>
      </c>
      <c r="Q81" s="458"/>
      <c r="R81" s="458">
        <f t="shared" si="10"/>
        <v>108.0275409307394</v>
      </c>
      <c r="S81" s="506"/>
      <c r="T81" s="118"/>
    </row>
    <row r="82" spans="1:20" s="41" customFormat="1" ht="36" customHeight="1">
      <c r="A82" s="146">
        <v>71</v>
      </c>
      <c r="B82" s="147" t="s">
        <v>325</v>
      </c>
      <c r="C82" s="457">
        <v>5211.398</v>
      </c>
      <c r="D82" s="457"/>
      <c r="E82" s="459">
        <v>5211.398</v>
      </c>
      <c r="F82" s="457"/>
      <c r="G82" s="457">
        <f t="shared" si="11"/>
        <v>5654.262</v>
      </c>
      <c r="H82" s="457"/>
      <c r="I82" s="502">
        <v>5654.262</v>
      </c>
      <c r="J82" s="457"/>
      <c r="K82" s="457"/>
      <c r="L82" s="457">
        <f t="shared" si="12"/>
        <v>0</v>
      </c>
      <c r="M82" s="457"/>
      <c r="N82" s="457"/>
      <c r="O82" s="547">
        <v>15.211</v>
      </c>
      <c r="P82" s="458">
        <f t="shared" si="9"/>
        <v>108.4979884476296</v>
      </c>
      <c r="Q82" s="458"/>
      <c r="R82" s="458">
        <f t="shared" si="10"/>
        <v>108.4979884476296</v>
      </c>
      <c r="S82" s="506"/>
      <c r="T82" s="118"/>
    </row>
    <row r="83" spans="1:20" s="41" customFormat="1" ht="36" customHeight="1">
      <c r="A83" s="146">
        <v>72</v>
      </c>
      <c r="B83" s="147" t="s">
        <v>326</v>
      </c>
      <c r="C83" s="457">
        <v>3860.415</v>
      </c>
      <c r="D83" s="457"/>
      <c r="E83" s="459">
        <v>3860.415</v>
      </c>
      <c r="F83" s="457"/>
      <c r="G83" s="457">
        <f t="shared" si="11"/>
        <v>4248.745</v>
      </c>
      <c r="H83" s="457"/>
      <c r="I83" s="502">
        <v>4248.745</v>
      </c>
      <c r="J83" s="457"/>
      <c r="K83" s="457"/>
      <c r="L83" s="457">
        <f t="shared" si="12"/>
        <v>0</v>
      </c>
      <c r="M83" s="457"/>
      <c r="N83" s="457"/>
      <c r="O83" s="547"/>
      <c r="P83" s="458">
        <f t="shared" si="9"/>
        <v>110.05928119127088</v>
      </c>
      <c r="Q83" s="458"/>
      <c r="R83" s="458">
        <f t="shared" si="10"/>
        <v>110.05928119127088</v>
      </c>
      <c r="S83" s="506"/>
      <c r="T83" s="118"/>
    </row>
    <row r="84" spans="1:20" s="41" customFormat="1" ht="36" customHeight="1">
      <c r="A84" s="146">
        <v>73</v>
      </c>
      <c r="B84" s="147" t="s">
        <v>327</v>
      </c>
      <c r="C84" s="457">
        <v>3582.315</v>
      </c>
      <c r="D84" s="457"/>
      <c r="E84" s="459">
        <v>3582.315</v>
      </c>
      <c r="F84" s="457"/>
      <c r="G84" s="457">
        <f t="shared" si="11"/>
        <v>4007.0055</v>
      </c>
      <c r="H84" s="457"/>
      <c r="I84" s="502">
        <v>4007.0055</v>
      </c>
      <c r="J84" s="457"/>
      <c r="K84" s="457"/>
      <c r="L84" s="457">
        <f t="shared" si="12"/>
        <v>0</v>
      </c>
      <c r="M84" s="457"/>
      <c r="N84" s="457"/>
      <c r="O84" s="547"/>
      <c r="P84" s="458">
        <f t="shared" si="9"/>
        <v>111.85519698853955</v>
      </c>
      <c r="Q84" s="458"/>
      <c r="R84" s="458">
        <f t="shared" si="10"/>
        <v>111.85519698853955</v>
      </c>
      <c r="S84" s="506"/>
      <c r="T84" s="118"/>
    </row>
    <row r="85" spans="1:20" s="41" customFormat="1" ht="36" customHeight="1">
      <c r="A85" s="146">
        <v>74</v>
      </c>
      <c r="B85" s="147" t="s">
        <v>328</v>
      </c>
      <c r="C85" s="457">
        <v>4250.216</v>
      </c>
      <c r="D85" s="457"/>
      <c r="E85" s="459">
        <v>4250.216</v>
      </c>
      <c r="F85" s="457"/>
      <c r="G85" s="457">
        <f t="shared" si="11"/>
        <v>4977.894334</v>
      </c>
      <c r="H85" s="457"/>
      <c r="I85" s="502">
        <v>4977.894334</v>
      </c>
      <c r="J85" s="457"/>
      <c r="K85" s="457"/>
      <c r="L85" s="457">
        <f t="shared" si="12"/>
        <v>0</v>
      </c>
      <c r="M85" s="457"/>
      <c r="N85" s="457"/>
      <c r="O85" s="547"/>
      <c r="P85" s="458">
        <f t="shared" si="9"/>
        <v>117.12097300466611</v>
      </c>
      <c r="Q85" s="458"/>
      <c r="R85" s="458">
        <f t="shared" si="10"/>
        <v>117.12097300466611</v>
      </c>
      <c r="S85" s="506"/>
      <c r="T85" s="118"/>
    </row>
    <row r="86" spans="1:20" s="41" customFormat="1" ht="36" customHeight="1">
      <c r="A86" s="146">
        <v>75</v>
      </c>
      <c r="B86" s="147" t="s">
        <v>329</v>
      </c>
      <c r="C86" s="457">
        <v>3185.488</v>
      </c>
      <c r="D86" s="457"/>
      <c r="E86" s="459">
        <v>3185.488</v>
      </c>
      <c r="F86" s="457"/>
      <c r="G86" s="457">
        <f t="shared" si="11"/>
        <v>1976.7599</v>
      </c>
      <c r="H86" s="457"/>
      <c r="I86" s="502">
        <v>1976.7599</v>
      </c>
      <c r="J86" s="457"/>
      <c r="K86" s="457"/>
      <c r="L86" s="457"/>
      <c r="M86" s="457"/>
      <c r="N86" s="457"/>
      <c r="O86" s="547"/>
      <c r="P86" s="458"/>
      <c r="Q86" s="458"/>
      <c r="R86" s="458"/>
      <c r="S86" s="506"/>
      <c r="T86" s="118"/>
    </row>
    <row r="87" spans="1:20" s="41" customFormat="1" ht="36" customHeight="1">
      <c r="A87" s="146">
        <v>76</v>
      </c>
      <c r="B87" s="147" t="s">
        <v>726</v>
      </c>
      <c r="C87" s="457">
        <v>0</v>
      </c>
      <c r="D87" s="457"/>
      <c r="E87" s="459">
        <v>0</v>
      </c>
      <c r="F87" s="457"/>
      <c r="G87" s="457">
        <f t="shared" si="11"/>
        <v>3340.6424</v>
      </c>
      <c r="H87" s="457"/>
      <c r="I87" s="502">
        <v>3340.6424</v>
      </c>
      <c r="J87" s="457"/>
      <c r="K87" s="457"/>
      <c r="L87" s="457">
        <f t="shared" si="12"/>
        <v>0</v>
      </c>
      <c r="M87" s="457"/>
      <c r="N87" s="457"/>
      <c r="O87" s="547">
        <v>7.273</v>
      </c>
      <c r="P87" s="458" t="e">
        <f aca="true" t="shared" si="13" ref="P87:P98">G87/C87*100</f>
        <v>#DIV/0!</v>
      </c>
      <c r="Q87" s="458"/>
      <c r="R87" s="458" t="e">
        <f aca="true" t="shared" si="14" ref="R87:R98">I87/E87*100</f>
        <v>#DIV/0!</v>
      </c>
      <c r="S87" s="506"/>
      <c r="T87" s="118"/>
    </row>
    <row r="88" spans="1:20" s="41" customFormat="1" ht="36" customHeight="1">
      <c r="A88" s="146">
        <v>77</v>
      </c>
      <c r="B88" s="147" t="s">
        <v>330</v>
      </c>
      <c r="C88" s="457">
        <v>2602.475</v>
      </c>
      <c r="D88" s="457"/>
      <c r="E88" s="459">
        <v>2602.475</v>
      </c>
      <c r="F88" s="457"/>
      <c r="G88" s="457">
        <f t="shared" si="11"/>
        <v>2922.189</v>
      </c>
      <c r="H88" s="457"/>
      <c r="I88" s="502">
        <v>2922.189</v>
      </c>
      <c r="J88" s="457"/>
      <c r="K88" s="457"/>
      <c r="L88" s="457">
        <f t="shared" si="12"/>
        <v>0</v>
      </c>
      <c r="M88" s="457"/>
      <c r="N88" s="457"/>
      <c r="O88" s="547"/>
      <c r="P88" s="458">
        <f t="shared" si="13"/>
        <v>112.28499793465836</v>
      </c>
      <c r="Q88" s="458"/>
      <c r="R88" s="458">
        <f t="shared" si="14"/>
        <v>112.28499793465836</v>
      </c>
      <c r="S88" s="506"/>
      <c r="T88" s="118"/>
    </row>
    <row r="89" spans="1:20" s="41" customFormat="1" ht="36" customHeight="1">
      <c r="A89" s="146">
        <v>78</v>
      </c>
      <c r="B89" s="147" t="s">
        <v>331</v>
      </c>
      <c r="C89" s="457">
        <v>5771.454</v>
      </c>
      <c r="D89" s="457"/>
      <c r="E89" s="459">
        <v>5771.454</v>
      </c>
      <c r="F89" s="457"/>
      <c r="G89" s="457">
        <f t="shared" si="11"/>
        <v>6501.885</v>
      </c>
      <c r="H89" s="457"/>
      <c r="I89" s="502">
        <v>6501.885</v>
      </c>
      <c r="J89" s="457"/>
      <c r="K89" s="457"/>
      <c r="L89" s="457">
        <f t="shared" si="12"/>
        <v>0</v>
      </c>
      <c r="M89" s="457"/>
      <c r="N89" s="457"/>
      <c r="O89" s="547">
        <v>7.28</v>
      </c>
      <c r="P89" s="458">
        <f t="shared" si="13"/>
        <v>112.65592691200519</v>
      </c>
      <c r="Q89" s="458"/>
      <c r="R89" s="458">
        <f t="shared" si="14"/>
        <v>112.65592691200519</v>
      </c>
      <c r="S89" s="506"/>
      <c r="T89" s="118"/>
    </row>
    <row r="90" spans="1:20" s="41" customFormat="1" ht="36" customHeight="1">
      <c r="A90" s="146">
        <v>79</v>
      </c>
      <c r="B90" s="147" t="s">
        <v>332</v>
      </c>
      <c r="C90" s="457">
        <v>2744.825</v>
      </c>
      <c r="D90" s="457"/>
      <c r="E90" s="459">
        <v>2744.825</v>
      </c>
      <c r="F90" s="457"/>
      <c r="G90" s="457">
        <f t="shared" si="11"/>
        <v>3315.4175</v>
      </c>
      <c r="H90" s="457"/>
      <c r="I90" s="502">
        <v>3315.4175</v>
      </c>
      <c r="J90" s="457"/>
      <c r="K90" s="457"/>
      <c r="L90" s="457">
        <f t="shared" si="12"/>
        <v>0</v>
      </c>
      <c r="M90" s="457"/>
      <c r="N90" s="457"/>
      <c r="O90" s="547"/>
      <c r="P90" s="458">
        <f t="shared" si="13"/>
        <v>120.7879373001922</v>
      </c>
      <c r="Q90" s="458"/>
      <c r="R90" s="458">
        <f t="shared" si="14"/>
        <v>120.7879373001922</v>
      </c>
      <c r="S90" s="506"/>
      <c r="T90" s="118"/>
    </row>
    <row r="91" spans="1:20" s="41" customFormat="1" ht="36" customHeight="1">
      <c r="A91" s="146">
        <v>80</v>
      </c>
      <c r="B91" s="147" t="s">
        <v>293</v>
      </c>
      <c r="C91" s="457">
        <v>2427.135</v>
      </c>
      <c r="D91" s="457"/>
      <c r="E91" s="459">
        <v>2427.135</v>
      </c>
      <c r="F91" s="457"/>
      <c r="G91" s="457">
        <f t="shared" si="11"/>
        <v>2627.1375</v>
      </c>
      <c r="H91" s="457"/>
      <c r="I91" s="502">
        <v>2627.1375</v>
      </c>
      <c r="J91" s="457"/>
      <c r="K91" s="457"/>
      <c r="L91" s="457">
        <f t="shared" si="12"/>
        <v>0</v>
      </c>
      <c r="M91" s="457"/>
      <c r="N91" s="457"/>
      <c r="O91" s="547">
        <v>1.897</v>
      </c>
      <c r="P91" s="458">
        <f t="shared" si="13"/>
        <v>108.24027093672169</v>
      </c>
      <c r="Q91" s="458"/>
      <c r="R91" s="458">
        <f t="shared" si="14"/>
        <v>108.24027093672169</v>
      </c>
      <c r="S91" s="506"/>
      <c r="T91" s="118"/>
    </row>
    <row r="92" spans="1:20" s="41" customFormat="1" ht="36" customHeight="1">
      <c r="A92" s="146">
        <v>81</v>
      </c>
      <c r="B92" s="147" t="s">
        <v>485</v>
      </c>
      <c r="C92" s="457">
        <v>5258.484</v>
      </c>
      <c r="D92" s="457"/>
      <c r="E92" s="459">
        <v>5258.484</v>
      </c>
      <c r="F92" s="457"/>
      <c r="G92" s="457">
        <f t="shared" si="11"/>
        <v>6078.018</v>
      </c>
      <c r="H92" s="457"/>
      <c r="I92" s="502">
        <v>6078.018</v>
      </c>
      <c r="J92" s="457"/>
      <c r="K92" s="457"/>
      <c r="L92" s="457">
        <f t="shared" si="12"/>
        <v>0</v>
      </c>
      <c r="M92" s="457"/>
      <c r="N92" s="457"/>
      <c r="O92" s="547">
        <v>0.05</v>
      </c>
      <c r="P92" s="458">
        <f t="shared" si="13"/>
        <v>115.58498609104828</v>
      </c>
      <c r="Q92" s="458"/>
      <c r="R92" s="458">
        <f t="shared" si="14"/>
        <v>115.58498609104828</v>
      </c>
      <c r="S92" s="506"/>
      <c r="T92" s="118"/>
    </row>
    <row r="93" spans="1:20" s="41" customFormat="1" ht="36" customHeight="1">
      <c r="A93" s="146">
        <v>82</v>
      </c>
      <c r="B93" s="147" t="s">
        <v>333</v>
      </c>
      <c r="C93" s="457">
        <v>4619.245</v>
      </c>
      <c r="D93" s="457"/>
      <c r="E93" s="459">
        <v>4619.245</v>
      </c>
      <c r="F93" s="457"/>
      <c r="G93" s="457">
        <f t="shared" si="11"/>
        <v>5261.5865</v>
      </c>
      <c r="H93" s="457"/>
      <c r="I93" s="502">
        <v>5261.5865</v>
      </c>
      <c r="J93" s="457"/>
      <c r="K93" s="457"/>
      <c r="L93" s="457">
        <f t="shared" si="12"/>
        <v>0</v>
      </c>
      <c r="M93" s="457"/>
      <c r="N93" s="457"/>
      <c r="O93" s="547"/>
      <c r="P93" s="458">
        <f t="shared" si="13"/>
        <v>113.90576815042286</v>
      </c>
      <c r="Q93" s="458"/>
      <c r="R93" s="458">
        <f t="shared" si="14"/>
        <v>113.90576815042286</v>
      </c>
      <c r="S93" s="506"/>
      <c r="T93" s="118"/>
    </row>
    <row r="94" spans="1:20" s="41" customFormat="1" ht="36" customHeight="1">
      <c r="A94" s="146">
        <v>83</v>
      </c>
      <c r="B94" s="147" t="s">
        <v>486</v>
      </c>
      <c r="C94" s="457">
        <v>7578.827</v>
      </c>
      <c r="D94" s="457"/>
      <c r="E94" s="459">
        <v>7578.827</v>
      </c>
      <c r="F94" s="457"/>
      <c r="G94" s="457">
        <f t="shared" si="11"/>
        <v>8579.5785</v>
      </c>
      <c r="H94" s="457"/>
      <c r="I94" s="502">
        <v>8579.5785</v>
      </c>
      <c r="J94" s="457"/>
      <c r="K94" s="457"/>
      <c r="L94" s="457">
        <f t="shared" si="12"/>
        <v>0</v>
      </c>
      <c r="M94" s="457"/>
      <c r="N94" s="457"/>
      <c r="O94" s="547">
        <f>13.403+5.985</f>
        <v>19.388</v>
      </c>
      <c r="P94" s="458">
        <f t="shared" si="13"/>
        <v>113.20456978368816</v>
      </c>
      <c r="Q94" s="458"/>
      <c r="R94" s="458">
        <f t="shared" si="14"/>
        <v>113.20456978368816</v>
      </c>
      <c r="S94" s="506"/>
      <c r="T94" s="118"/>
    </row>
    <row r="95" spans="1:20" s="41" customFormat="1" ht="36" customHeight="1">
      <c r="A95" s="146">
        <v>84</v>
      </c>
      <c r="B95" s="147" t="s">
        <v>498</v>
      </c>
      <c r="C95" s="457">
        <v>4669.61</v>
      </c>
      <c r="D95" s="457"/>
      <c r="E95" s="459">
        <v>4669.61</v>
      </c>
      <c r="F95" s="457"/>
      <c r="G95" s="457">
        <f t="shared" si="11"/>
        <v>5324.9603</v>
      </c>
      <c r="H95" s="457"/>
      <c r="I95" s="502">
        <v>5324.9603</v>
      </c>
      <c r="J95" s="457"/>
      <c r="K95" s="457"/>
      <c r="L95" s="457">
        <f t="shared" si="12"/>
        <v>0</v>
      </c>
      <c r="M95" s="457"/>
      <c r="N95" s="457"/>
      <c r="O95" s="547"/>
      <c r="P95" s="458">
        <f t="shared" si="13"/>
        <v>114.03436903724294</v>
      </c>
      <c r="Q95" s="458"/>
      <c r="R95" s="458">
        <f t="shared" si="14"/>
        <v>114.03436903724294</v>
      </c>
      <c r="S95" s="506"/>
      <c r="T95" s="118"/>
    </row>
    <row r="96" spans="1:20" s="41" customFormat="1" ht="36" customHeight="1">
      <c r="A96" s="146">
        <v>85</v>
      </c>
      <c r="B96" s="147" t="s">
        <v>623</v>
      </c>
      <c r="C96" s="457">
        <v>2788.99</v>
      </c>
      <c r="D96" s="457"/>
      <c r="E96" s="459">
        <v>2788.99</v>
      </c>
      <c r="F96" s="457"/>
      <c r="G96" s="457">
        <f t="shared" si="11"/>
        <v>3400.414</v>
      </c>
      <c r="H96" s="457"/>
      <c r="I96" s="502">
        <v>3400.414</v>
      </c>
      <c r="J96" s="457"/>
      <c r="K96" s="457"/>
      <c r="L96" s="457">
        <f t="shared" si="12"/>
        <v>0</v>
      </c>
      <c r="M96" s="457"/>
      <c r="N96" s="457"/>
      <c r="O96" s="547"/>
      <c r="P96" s="458">
        <f t="shared" si="13"/>
        <v>121.92277491134784</v>
      </c>
      <c r="Q96" s="458"/>
      <c r="R96" s="458">
        <f t="shared" si="14"/>
        <v>121.92277491134784</v>
      </c>
      <c r="S96" s="506"/>
      <c r="T96" s="118"/>
    </row>
    <row r="97" spans="1:20" s="41" customFormat="1" ht="36.75" customHeight="1">
      <c r="A97" s="146">
        <v>86</v>
      </c>
      <c r="B97" s="43" t="s">
        <v>463</v>
      </c>
      <c r="C97" s="457">
        <v>1767.82</v>
      </c>
      <c r="D97" s="457"/>
      <c r="E97" s="459">
        <v>1767.82</v>
      </c>
      <c r="F97" s="457"/>
      <c r="G97" s="457">
        <f t="shared" si="11"/>
        <v>3075.288</v>
      </c>
      <c r="H97" s="457"/>
      <c r="I97" s="502">
        <v>3075.288</v>
      </c>
      <c r="J97" s="457"/>
      <c r="K97" s="457"/>
      <c r="L97" s="457">
        <f t="shared" si="12"/>
        <v>0</v>
      </c>
      <c r="M97" s="457"/>
      <c r="N97" s="457"/>
      <c r="O97" s="547"/>
      <c r="P97" s="458">
        <f t="shared" si="13"/>
        <v>173.95933975178468</v>
      </c>
      <c r="Q97" s="458"/>
      <c r="R97" s="458">
        <f t="shared" si="14"/>
        <v>173.95933975178468</v>
      </c>
      <c r="S97" s="506"/>
      <c r="T97" s="118"/>
    </row>
    <row r="98" spans="1:20" s="41" customFormat="1" ht="36.75" customHeight="1">
      <c r="A98" s="146">
        <v>87</v>
      </c>
      <c r="B98" s="43" t="s">
        <v>428</v>
      </c>
      <c r="C98" s="457">
        <v>1021.48</v>
      </c>
      <c r="D98" s="457"/>
      <c r="E98" s="459">
        <v>1021.48</v>
      </c>
      <c r="F98" s="457"/>
      <c r="G98" s="457">
        <f t="shared" si="11"/>
        <v>2512.8</v>
      </c>
      <c r="H98" s="457"/>
      <c r="I98" s="502">
        <v>2512.8</v>
      </c>
      <c r="J98" s="457"/>
      <c r="K98" s="457"/>
      <c r="L98" s="457">
        <f t="shared" si="12"/>
        <v>0</v>
      </c>
      <c r="M98" s="457"/>
      <c r="N98" s="457"/>
      <c r="O98" s="547"/>
      <c r="P98" s="458">
        <f t="shared" si="13"/>
        <v>245.9960057955124</v>
      </c>
      <c r="Q98" s="458"/>
      <c r="R98" s="458">
        <f t="shared" si="14"/>
        <v>245.9960057955124</v>
      </c>
      <c r="S98" s="506"/>
      <c r="T98" s="118"/>
    </row>
    <row r="99" spans="1:20" s="41" customFormat="1" ht="36.75" customHeight="1">
      <c r="A99" s="146">
        <v>88</v>
      </c>
      <c r="B99" s="43" t="s">
        <v>429</v>
      </c>
      <c r="C99" s="457">
        <v>0</v>
      </c>
      <c r="D99" s="457"/>
      <c r="E99" s="459"/>
      <c r="F99" s="457"/>
      <c r="G99" s="457">
        <f t="shared" si="11"/>
        <v>716.19</v>
      </c>
      <c r="H99" s="457"/>
      <c r="I99" s="502">
        <v>716.19</v>
      </c>
      <c r="J99" s="457"/>
      <c r="K99" s="457"/>
      <c r="L99" s="457">
        <f t="shared" si="12"/>
        <v>0</v>
      </c>
      <c r="M99" s="457"/>
      <c r="N99" s="457"/>
      <c r="O99" s="547"/>
      <c r="P99" s="458"/>
      <c r="Q99" s="458"/>
      <c r="R99" s="458"/>
      <c r="S99" s="506"/>
      <c r="T99" s="118"/>
    </row>
    <row r="100" spans="1:20" s="41" customFormat="1" ht="36.75" customHeight="1">
      <c r="A100" s="146">
        <v>89</v>
      </c>
      <c r="B100" s="43" t="s">
        <v>430</v>
      </c>
      <c r="C100" s="457">
        <v>35238.42</v>
      </c>
      <c r="D100" s="457">
        <v>500</v>
      </c>
      <c r="E100" s="459">
        <v>14236.83</v>
      </c>
      <c r="F100" s="457"/>
      <c r="G100" s="457">
        <f t="shared" si="11"/>
        <v>0</v>
      </c>
      <c r="H100" s="457"/>
      <c r="I100" s="502"/>
      <c r="J100" s="457"/>
      <c r="K100" s="457"/>
      <c r="L100" s="457">
        <f t="shared" si="12"/>
        <v>0</v>
      </c>
      <c r="M100" s="457"/>
      <c r="N100" s="457"/>
      <c r="O100" s="547"/>
      <c r="P100" s="458">
        <f>G100/C100*100</f>
        <v>0</v>
      </c>
      <c r="Q100" s="458"/>
      <c r="R100" s="458">
        <f>I100/E100*100</f>
        <v>0</v>
      </c>
      <c r="S100" s="506"/>
      <c r="T100" s="118"/>
    </row>
    <row r="101" spans="1:20" s="41" customFormat="1" ht="36.75" customHeight="1">
      <c r="A101" s="146">
        <v>90</v>
      </c>
      <c r="B101" s="147" t="s">
        <v>431</v>
      </c>
      <c r="C101" s="457">
        <v>5000</v>
      </c>
      <c r="D101" s="457"/>
      <c r="E101" s="459"/>
      <c r="F101" s="457"/>
      <c r="G101" s="457">
        <f t="shared" si="11"/>
        <v>0</v>
      </c>
      <c r="H101" s="457"/>
      <c r="I101" s="502"/>
      <c r="J101" s="457"/>
      <c r="K101" s="457"/>
      <c r="L101" s="457">
        <f t="shared" si="12"/>
        <v>0</v>
      </c>
      <c r="M101" s="457"/>
      <c r="N101" s="457"/>
      <c r="O101" s="547"/>
      <c r="P101" s="458">
        <f>G101/C101*100</f>
        <v>0</v>
      </c>
      <c r="Q101" s="458"/>
      <c r="R101" s="458"/>
      <c r="S101" s="506"/>
      <c r="T101" s="118"/>
    </row>
    <row r="102" spans="1:20" s="41" customFormat="1" ht="36.75" customHeight="1">
      <c r="A102" s="146">
        <v>91</v>
      </c>
      <c r="B102" s="147" t="s">
        <v>464</v>
      </c>
      <c r="C102" s="457">
        <v>8948.88</v>
      </c>
      <c r="D102" s="457"/>
      <c r="E102" s="459"/>
      <c r="F102" s="457">
        <v>8948.88</v>
      </c>
      <c r="G102" s="457">
        <f t="shared" si="11"/>
        <v>0</v>
      </c>
      <c r="H102" s="457"/>
      <c r="I102" s="502"/>
      <c r="J102" s="457"/>
      <c r="K102" s="457"/>
      <c r="L102" s="457">
        <f t="shared" si="12"/>
        <v>0</v>
      </c>
      <c r="M102" s="457"/>
      <c r="N102" s="457"/>
      <c r="O102" s="547"/>
      <c r="P102" s="458">
        <f>G102/C102*100</f>
        <v>0</v>
      </c>
      <c r="Q102" s="458"/>
      <c r="R102" s="458"/>
      <c r="S102" s="506"/>
      <c r="T102" s="118"/>
    </row>
    <row r="103" spans="1:20" s="41" customFormat="1" ht="36.75" customHeight="1">
      <c r="A103" s="146">
        <v>92</v>
      </c>
      <c r="B103" s="147" t="s">
        <v>84</v>
      </c>
      <c r="C103" s="457">
        <v>0</v>
      </c>
      <c r="D103" s="457"/>
      <c r="E103" s="459"/>
      <c r="F103" s="457"/>
      <c r="G103" s="457">
        <f t="shared" si="11"/>
        <v>0</v>
      </c>
      <c r="H103" s="457"/>
      <c r="I103" s="502"/>
      <c r="J103" s="457"/>
      <c r="K103" s="457"/>
      <c r="L103" s="457">
        <f t="shared" si="12"/>
        <v>0</v>
      </c>
      <c r="M103" s="457"/>
      <c r="N103" s="457"/>
      <c r="O103" s="547"/>
      <c r="P103" s="458"/>
      <c r="Q103" s="458"/>
      <c r="R103" s="458"/>
      <c r="S103" s="506"/>
      <c r="T103" s="118"/>
    </row>
    <row r="104" spans="1:20" s="40" customFormat="1" ht="30" customHeight="1">
      <c r="A104" s="146">
        <v>93</v>
      </c>
      <c r="B104" s="147" t="s">
        <v>432</v>
      </c>
      <c r="C104" s="457">
        <v>0</v>
      </c>
      <c r="D104" s="457"/>
      <c r="E104" s="459"/>
      <c r="F104" s="457"/>
      <c r="G104" s="457">
        <f t="shared" si="11"/>
        <v>0</v>
      </c>
      <c r="H104" s="457"/>
      <c r="I104" s="502"/>
      <c r="J104" s="457"/>
      <c r="K104" s="457"/>
      <c r="L104" s="457">
        <f t="shared" si="12"/>
        <v>0</v>
      </c>
      <c r="M104" s="457"/>
      <c r="N104" s="457"/>
      <c r="O104" s="547">
        <v>23132.290091</v>
      </c>
      <c r="P104" s="458"/>
      <c r="Q104" s="458"/>
      <c r="R104" s="458"/>
      <c r="S104" s="506"/>
      <c r="T104" s="119"/>
    </row>
    <row r="105" spans="1:20" s="40" customFormat="1" ht="30" customHeight="1">
      <c r="A105" s="146">
        <v>94</v>
      </c>
      <c r="B105" s="147" t="s">
        <v>337</v>
      </c>
      <c r="C105" s="457">
        <v>0</v>
      </c>
      <c r="D105" s="457"/>
      <c r="E105" s="459"/>
      <c r="F105" s="457"/>
      <c r="G105" s="457">
        <f t="shared" si="11"/>
        <v>0</v>
      </c>
      <c r="H105" s="457"/>
      <c r="I105" s="502"/>
      <c r="J105" s="457"/>
      <c r="K105" s="457"/>
      <c r="L105" s="457">
        <f t="shared" si="12"/>
        <v>0</v>
      </c>
      <c r="M105" s="457"/>
      <c r="N105" s="457"/>
      <c r="O105" s="547"/>
      <c r="P105" s="458"/>
      <c r="Q105" s="458"/>
      <c r="R105" s="458"/>
      <c r="S105" s="506"/>
      <c r="T105" s="119"/>
    </row>
    <row r="106" spans="1:20" s="40" customFormat="1" ht="30" customHeight="1">
      <c r="A106" s="146">
        <v>95</v>
      </c>
      <c r="B106" s="147" t="s">
        <v>533</v>
      </c>
      <c r="C106" s="457">
        <v>5795.9</v>
      </c>
      <c r="D106" s="457"/>
      <c r="E106" s="459"/>
      <c r="F106" s="457"/>
      <c r="G106" s="457">
        <f>SUM(H106:L106)</f>
        <v>0</v>
      </c>
      <c r="H106" s="457"/>
      <c r="I106" s="502"/>
      <c r="J106" s="457"/>
      <c r="K106" s="457"/>
      <c r="L106" s="457">
        <f t="shared" si="12"/>
        <v>0</v>
      </c>
      <c r="M106" s="457"/>
      <c r="N106" s="457"/>
      <c r="O106" s="547"/>
      <c r="P106" s="458">
        <f>G106/C106*100</f>
        <v>0</v>
      </c>
      <c r="Q106" s="458"/>
      <c r="R106" s="458"/>
      <c r="S106" s="506"/>
      <c r="T106" s="119"/>
    </row>
    <row r="107" spans="1:20" s="40" customFormat="1" ht="30" customHeight="1">
      <c r="A107" s="146">
        <v>96</v>
      </c>
      <c r="B107" s="147" t="s">
        <v>586</v>
      </c>
      <c r="C107" s="457">
        <v>0</v>
      </c>
      <c r="D107" s="457"/>
      <c r="E107" s="459"/>
      <c r="F107" s="457"/>
      <c r="G107" s="457">
        <f t="shared" si="11"/>
        <v>1871.801</v>
      </c>
      <c r="H107" s="457"/>
      <c r="I107" s="502">
        <v>1871.801</v>
      </c>
      <c r="J107" s="457"/>
      <c r="K107" s="457"/>
      <c r="L107" s="457">
        <f t="shared" si="12"/>
        <v>0</v>
      </c>
      <c r="M107" s="457"/>
      <c r="N107" s="457"/>
      <c r="O107" s="547"/>
      <c r="P107" s="458"/>
      <c r="Q107" s="458"/>
      <c r="R107" s="458"/>
      <c r="S107" s="506"/>
      <c r="T107" s="119"/>
    </row>
    <row r="108" spans="1:20" s="41" customFormat="1" ht="30" customHeight="1">
      <c r="A108" s="146">
        <v>97</v>
      </c>
      <c r="B108" s="147" t="s">
        <v>534</v>
      </c>
      <c r="C108" s="457"/>
      <c r="D108" s="457"/>
      <c r="E108" s="459"/>
      <c r="F108" s="457"/>
      <c r="G108" s="457">
        <f t="shared" si="11"/>
        <v>407.2</v>
      </c>
      <c r="H108" s="457"/>
      <c r="I108" s="502"/>
      <c r="J108" s="457"/>
      <c r="K108" s="502">
        <v>407.2</v>
      </c>
      <c r="L108" s="457">
        <f t="shared" si="12"/>
        <v>0</v>
      </c>
      <c r="M108" s="457"/>
      <c r="N108" s="457"/>
      <c r="O108" s="547"/>
      <c r="P108" s="458"/>
      <c r="Q108" s="458"/>
      <c r="R108" s="458"/>
      <c r="S108" s="506"/>
      <c r="T108" s="119"/>
    </row>
    <row r="109" spans="1:19" s="41" customFormat="1" ht="30" customHeight="1">
      <c r="A109" s="148" t="s">
        <v>40</v>
      </c>
      <c r="B109" s="149" t="s">
        <v>420</v>
      </c>
      <c r="C109" s="623">
        <f>SUM(C110:C127)</f>
        <v>86213.27</v>
      </c>
      <c r="D109" s="623">
        <f aca="true" t="shared" si="15" ref="D109:O109">SUM(D110:D127)</f>
        <v>0</v>
      </c>
      <c r="E109" s="623">
        <f t="shared" si="15"/>
        <v>84444.15</v>
      </c>
      <c r="F109" s="623">
        <f t="shared" si="15"/>
        <v>1769.12</v>
      </c>
      <c r="G109" s="623">
        <f t="shared" si="15"/>
        <v>166484.33843899996</v>
      </c>
      <c r="H109" s="623">
        <f t="shared" si="15"/>
        <v>1890.654</v>
      </c>
      <c r="I109" s="623">
        <f t="shared" si="15"/>
        <v>93673.531056</v>
      </c>
      <c r="J109" s="623">
        <f t="shared" si="15"/>
        <v>880.9469999999999</v>
      </c>
      <c r="K109" s="623">
        <f t="shared" si="15"/>
        <v>1150</v>
      </c>
      <c r="L109" s="623">
        <f t="shared" si="15"/>
        <v>35145.91535</v>
      </c>
      <c r="M109" s="623">
        <f t="shared" si="15"/>
        <v>10339.117</v>
      </c>
      <c r="N109" s="623">
        <f t="shared" si="15"/>
        <v>24806.798350000005</v>
      </c>
      <c r="O109" s="624">
        <f t="shared" si="15"/>
        <v>33743.291033</v>
      </c>
      <c r="P109" s="800">
        <v>110.17060041954862</v>
      </c>
      <c r="Q109" s="801"/>
      <c r="R109" s="802">
        <v>109.84234388735187</v>
      </c>
      <c r="S109" s="119"/>
    </row>
    <row r="110" spans="1:19" s="603" customFormat="1" ht="30" customHeight="1">
      <c r="A110" s="612">
        <v>1</v>
      </c>
      <c r="B110" s="613" t="s">
        <v>270</v>
      </c>
      <c r="C110" s="616">
        <v>5677.530000000001</v>
      </c>
      <c r="D110" s="616"/>
      <c r="E110" s="616">
        <v>5562.81</v>
      </c>
      <c r="F110" s="616">
        <v>114.72</v>
      </c>
      <c r="G110" s="457">
        <f>SUM(H110:L110)+O110</f>
        <v>6961.649324</v>
      </c>
      <c r="H110" s="616"/>
      <c r="I110" s="616">
        <v>6110.32089</v>
      </c>
      <c r="J110" s="616">
        <v>48.5</v>
      </c>
      <c r="K110" s="616"/>
      <c r="L110" s="616">
        <f>M110+N110</f>
        <v>96.148</v>
      </c>
      <c r="M110" s="616"/>
      <c r="N110" s="616">
        <v>96.148</v>
      </c>
      <c r="O110" s="617">
        <v>706.680434</v>
      </c>
      <c r="P110" s="617">
        <v>110.17060041954862</v>
      </c>
      <c r="Q110" s="617"/>
      <c r="R110" s="618">
        <v>109.84234388735187</v>
      </c>
      <c r="S110" s="602"/>
    </row>
    <row r="111" spans="1:19" s="603" customFormat="1" ht="30" customHeight="1">
      <c r="A111" s="612">
        <v>2</v>
      </c>
      <c r="B111" s="613" t="s">
        <v>271</v>
      </c>
      <c r="C111" s="616">
        <v>5560.63</v>
      </c>
      <c r="D111" s="616"/>
      <c r="E111" s="616">
        <v>5446.26</v>
      </c>
      <c r="F111" s="616">
        <v>114.37</v>
      </c>
      <c r="G111" s="457">
        <f aca="true" t="shared" si="16" ref="G111:G127">SUM(H111:L111)+O111</f>
        <v>8503.392926</v>
      </c>
      <c r="H111" s="616">
        <v>249.981</v>
      </c>
      <c r="I111" s="616">
        <v>5454.999703</v>
      </c>
      <c r="J111" s="616">
        <v>104.105</v>
      </c>
      <c r="K111" s="616"/>
      <c r="L111" s="616">
        <f aca="true" t="shared" si="17" ref="L111:L127">M111+N111</f>
        <v>1137.6388</v>
      </c>
      <c r="M111" s="616"/>
      <c r="N111" s="616">
        <v>1137.6388</v>
      </c>
      <c r="O111" s="617">
        <v>1556.668423</v>
      </c>
      <c r="P111" s="617">
        <v>124.92693279358633</v>
      </c>
      <c r="Q111" s="617"/>
      <c r="R111" s="618">
        <v>100.16047164476174</v>
      </c>
      <c r="S111" s="602"/>
    </row>
    <row r="112" spans="1:19" s="603" customFormat="1" ht="30" customHeight="1">
      <c r="A112" s="612">
        <v>3</v>
      </c>
      <c r="B112" s="613" t="s">
        <v>9</v>
      </c>
      <c r="C112" s="616">
        <v>5256.55</v>
      </c>
      <c r="D112" s="616"/>
      <c r="E112" s="616">
        <v>5150.49</v>
      </c>
      <c r="F112" s="616">
        <v>106.06</v>
      </c>
      <c r="G112" s="457">
        <f t="shared" si="16"/>
        <v>8060.155031</v>
      </c>
      <c r="H112" s="616">
        <v>808.8</v>
      </c>
      <c r="I112" s="616">
        <v>6203.601535</v>
      </c>
      <c r="J112" s="616">
        <v>103.06</v>
      </c>
      <c r="K112" s="616"/>
      <c r="L112" s="616">
        <f t="shared" si="17"/>
        <v>574.026</v>
      </c>
      <c r="M112" s="619"/>
      <c r="N112" s="616">
        <v>574.026</v>
      </c>
      <c r="O112" s="617">
        <v>370.667496</v>
      </c>
      <c r="P112" s="617">
        <v>146.2839226298618</v>
      </c>
      <c r="Q112" s="617"/>
      <c r="R112" s="618">
        <v>120.44682224409718</v>
      </c>
      <c r="S112" s="602"/>
    </row>
    <row r="113" spans="1:19" s="603" customFormat="1" ht="30" customHeight="1">
      <c r="A113" s="612">
        <v>4</v>
      </c>
      <c r="B113" s="613" t="s">
        <v>272</v>
      </c>
      <c r="C113" s="616">
        <v>5233.240000000001</v>
      </c>
      <c r="D113" s="616"/>
      <c r="E113" s="616">
        <v>5125.6</v>
      </c>
      <c r="F113" s="616">
        <v>107.64</v>
      </c>
      <c r="G113" s="457">
        <f t="shared" si="16"/>
        <v>5864.656903</v>
      </c>
      <c r="H113" s="616"/>
      <c r="I113" s="616">
        <v>5497.260421</v>
      </c>
      <c r="J113" s="616">
        <v>107.64</v>
      </c>
      <c r="K113" s="616"/>
      <c r="L113" s="616">
        <f t="shared" si="17"/>
        <v>149.973</v>
      </c>
      <c r="M113" s="616"/>
      <c r="N113" s="616">
        <v>149.973</v>
      </c>
      <c r="O113" s="617">
        <v>109.783482</v>
      </c>
      <c r="P113" s="617">
        <v>109.96769536654156</v>
      </c>
      <c r="Q113" s="617"/>
      <c r="R113" s="618">
        <v>107.25106174886842</v>
      </c>
      <c r="S113" s="602"/>
    </row>
    <row r="114" spans="1:19" s="603" customFormat="1" ht="30" customHeight="1">
      <c r="A114" s="612">
        <v>5</v>
      </c>
      <c r="B114" s="613" t="s">
        <v>273</v>
      </c>
      <c r="C114" s="616">
        <v>6471.589999999999</v>
      </c>
      <c r="D114" s="616"/>
      <c r="E114" s="616">
        <v>6338.48</v>
      </c>
      <c r="F114" s="616">
        <v>133.11</v>
      </c>
      <c r="G114" s="457">
        <f t="shared" si="16"/>
        <v>18972.966739</v>
      </c>
      <c r="H114" s="616"/>
      <c r="I114" s="616">
        <v>7026.832124</v>
      </c>
      <c r="J114" s="616">
        <v>133.11</v>
      </c>
      <c r="K114" s="616"/>
      <c r="L114" s="616">
        <f t="shared" si="17"/>
        <v>5092.909</v>
      </c>
      <c r="M114" s="616">
        <v>541.663</v>
      </c>
      <c r="N114" s="616">
        <v>4551.246</v>
      </c>
      <c r="O114" s="617">
        <v>6720.115615</v>
      </c>
      <c r="P114" s="617">
        <v>189.3329324632741</v>
      </c>
      <c r="Q114" s="617"/>
      <c r="R114" s="618">
        <v>113.0003111787053</v>
      </c>
      <c r="S114" s="602"/>
    </row>
    <row r="115" spans="1:19" s="603" customFormat="1" ht="30" customHeight="1">
      <c r="A115" s="612">
        <v>6</v>
      </c>
      <c r="B115" s="613" t="s">
        <v>274</v>
      </c>
      <c r="C115" s="616">
        <v>4703.38</v>
      </c>
      <c r="D115" s="616"/>
      <c r="E115" s="616">
        <v>4606.64</v>
      </c>
      <c r="F115" s="616">
        <v>96.74</v>
      </c>
      <c r="G115" s="457">
        <f t="shared" si="16"/>
        <v>7301.980619999999</v>
      </c>
      <c r="H115" s="616"/>
      <c r="I115" s="616">
        <v>4971.967815</v>
      </c>
      <c r="J115" s="616">
        <v>0</v>
      </c>
      <c r="K115" s="616">
        <v>820</v>
      </c>
      <c r="L115" s="616">
        <f t="shared" si="17"/>
        <v>985.721</v>
      </c>
      <c r="M115" s="616">
        <v>576.575</v>
      </c>
      <c r="N115" s="616">
        <v>409.146</v>
      </c>
      <c r="O115" s="617">
        <v>524.291805</v>
      </c>
      <c r="P115" s="617">
        <v>144.10251383047935</v>
      </c>
      <c r="Q115" s="617"/>
      <c r="R115" s="618">
        <v>107.93046157286004</v>
      </c>
      <c r="S115" s="602" t="s">
        <v>789</v>
      </c>
    </row>
    <row r="116" spans="1:19" s="603" customFormat="1" ht="30" customHeight="1">
      <c r="A116" s="612">
        <v>7</v>
      </c>
      <c r="B116" s="613" t="s">
        <v>275</v>
      </c>
      <c r="C116" s="616">
        <v>3707.18</v>
      </c>
      <c r="D116" s="616"/>
      <c r="E116" s="616">
        <v>3630.93</v>
      </c>
      <c r="F116" s="616">
        <v>76.25</v>
      </c>
      <c r="G116" s="457">
        <f t="shared" si="16"/>
        <v>5836.227625999999</v>
      </c>
      <c r="H116" s="616"/>
      <c r="I116" s="616">
        <v>3956.851056</v>
      </c>
      <c r="J116" s="616">
        <v>76.25</v>
      </c>
      <c r="K116" s="616">
        <v>330</v>
      </c>
      <c r="L116" s="616">
        <f t="shared" si="17"/>
        <v>1188.17044</v>
      </c>
      <c r="M116" s="616">
        <v>1041.707</v>
      </c>
      <c r="N116" s="616">
        <v>146.46344</v>
      </c>
      <c r="O116" s="617">
        <v>284.95613</v>
      </c>
      <c r="P116" s="617">
        <v>149.74378087926672</v>
      </c>
      <c r="Q116" s="617"/>
      <c r="R116" s="618">
        <v>108.97624178929365</v>
      </c>
      <c r="S116" s="602" t="s">
        <v>790</v>
      </c>
    </row>
    <row r="117" spans="1:19" s="603" customFormat="1" ht="30" customHeight="1">
      <c r="A117" s="612">
        <v>8</v>
      </c>
      <c r="B117" s="613" t="s">
        <v>276</v>
      </c>
      <c r="C117" s="616">
        <v>3919.5499999999997</v>
      </c>
      <c r="D117" s="616"/>
      <c r="E117" s="616">
        <v>3838.93</v>
      </c>
      <c r="F117" s="616">
        <v>80.62</v>
      </c>
      <c r="G117" s="457">
        <f t="shared" si="16"/>
        <v>6057.831998000001</v>
      </c>
      <c r="H117" s="616"/>
      <c r="I117" s="616">
        <v>4621.19112</v>
      </c>
      <c r="J117" s="616">
        <v>80.62</v>
      </c>
      <c r="K117" s="616"/>
      <c r="L117" s="616">
        <f t="shared" si="17"/>
        <v>901.1209</v>
      </c>
      <c r="M117" s="616">
        <v>572.336</v>
      </c>
      <c r="N117" s="616">
        <v>328.7849</v>
      </c>
      <c r="O117" s="617">
        <v>454.899978</v>
      </c>
      <c r="P117" s="617">
        <v>142.9483491727367</v>
      </c>
      <c r="Q117" s="617"/>
      <c r="R117" s="618">
        <v>120.37706131656478</v>
      </c>
      <c r="S117" s="602"/>
    </row>
    <row r="118" spans="1:19" s="603" customFormat="1" ht="30" customHeight="1">
      <c r="A118" s="612">
        <v>9</v>
      </c>
      <c r="B118" s="613" t="s">
        <v>277</v>
      </c>
      <c r="C118" s="616">
        <v>4335.4800000000005</v>
      </c>
      <c r="D118" s="616"/>
      <c r="E118" s="616">
        <v>4246.31</v>
      </c>
      <c r="F118" s="616">
        <v>89.17</v>
      </c>
      <c r="G118" s="457">
        <f t="shared" si="16"/>
        <v>10231.344143</v>
      </c>
      <c r="H118" s="616"/>
      <c r="I118" s="616">
        <v>4727.613139</v>
      </c>
      <c r="J118" s="616">
        <v>84.64</v>
      </c>
      <c r="K118" s="616"/>
      <c r="L118" s="616">
        <f t="shared" si="17"/>
        <v>3650.0699999999997</v>
      </c>
      <c r="M118" s="616">
        <v>1629</v>
      </c>
      <c r="N118" s="616">
        <v>2021.07</v>
      </c>
      <c r="O118" s="617">
        <v>1769.021004</v>
      </c>
      <c r="P118" s="617">
        <v>195.1876871534409</v>
      </c>
      <c r="Q118" s="617"/>
      <c r="R118" s="618">
        <v>111.33462085905173</v>
      </c>
      <c r="S118" s="602"/>
    </row>
    <row r="119" spans="1:19" s="603" customFormat="1" ht="30" customHeight="1">
      <c r="A119" s="612">
        <v>10</v>
      </c>
      <c r="B119" s="613" t="s">
        <v>278</v>
      </c>
      <c r="C119" s="616">
        <v>4473.6</v>
      </c>
      <c r="D119" s="616"/>
      <c r="E119" s="616">
        <v>4381.59</v>
      </c>
      <c r="F119" s="616">
        <v>92.01</v>
      </c>
      <c r="G119" s="457">
        <f t="shared" si="16"/>
        <v>8424.488442</v>
      </c>
      <c r="H119" s="616">
        <v>281.873</v>
      </c>
      <c r="I119" s="616">
        <v>4710.468841</v>
      </c>
      <c r="J119" s="616">
        <v>19.582</v>
      </c>
      <c r="K119" s="616"/>
      <c r="L119" s="616">
        <f t="shared" si="17"/>
        <v>2756.787</v>
      </c>
      <c r="M119" s="616"/>
      <c r="N119" s="616">
        <v>2756.787</v>
      </c>
      <c r="O119" s="617">
        <v>655.777601</v>
      </c>
      <c r="P119" s="617">
        <v>173.65680527986405</v>
      </c>
      <c r="Q119" s="617"/>
      <c r="R119" s="618">
        <v>109.76423720612833</v>
      </c>
      <c r="S119" s="602"/>
    </row>
    <row r="120" spans="1:19" s="603" customFormat="1" ht="30" customHeight="1">
      <c r="A120" s="612">
        <v>11</v>
      </c>
      <c r="B120" s="613" t="s">
        <v>279</v>
      </c>
      <c r="C120" s="616">
        <v>3932.4300000000003</v>
      </c>
      <c r="D120" s="616"/>
      <c r="E120" s="616">
        <v>3851.55</v>
      </c>
      <c r="F120" s="616">
        <v>80.88</v>
      </c>
      <c r="G120" s="457">
        <f t="shared" si="16"/>
        <v>5535.073614</v>
      </c>
      <c r="H120" s="616"/>
      <c r="I120" s="616">
        <v>4302.899692</v>
      </c>
      <c r="J120" s="616">
        <v>0</v>
      </c>
      <c r="K120" s="616"/>
      <c r="L120" s="616">
        <f t="shared" si="17"/>
        <v>818.4105</v>
      </c>
      <c r="M120" s="619">
        <v>417.428</v>
      </c>
      <c r="N120" s="616">
        <v>400.9825</v>
      </c>
      <c r="O120" s="617">
        <v>413.763422</v>
      </c>
      <c r="P120" s="617">
        <v>130.23271086834347</v>
      </c>
      <c r="Q120" s="617"/>
      <c r="R120" s="618">
        <v>111.71865072503277</v>
      </c>
      <c r="S120" s="602"/>
    </row>
    <row r="121" spans="1:19" s="603" customFormat="1" ht="30" customHeight="1">
      <c r="A121" s="612">
        <v>12</v>
      </c>
      <c r="B121" s="613" t="s">
        <v>280</v>
      </c>
      <c r="C121" s="616">
        <v>4386.02</v>
      </c>
      <c r="D121" s="616"/>
      <c r="E121" s="616">
        <v>4295.81</v>
      </c>
      <c r="F121" s="616">
        <v>90.21</v>
      </c>
      <c r="G121" s="457">
        <f t="shared" si="16"/>
        <v>11225.497666</v>
      </c>
      <c r="H121" s="616"/>
      <c r="I121" s="616">
        <v>4941.479798</v>
      </c>
      <c r="J121" s="616">
        <v>0</v>
      </c>
      <c r="K121" s="616"/>
      <c r="L121" s="616">
        <f t="shared" si="17"/>
        <v>1929.913627</v>
      </c>
      <c r="M121" s="616"/>
      <c r="N121" s="616">
        <v>1929.913627</v>
      </c>
      <c r="O121" s="617">
        <v>4354.104241</v>
      </c>
      <c r="P121" s="617">
        <v>156.66580236752225</v>
      </c>
      <c r="Q121" s="617"/>
      <c r="R121" s="618">
        <v>115.03022242603839</v>
      </c>
      <c r="S121" s="602"/>
    </row>
    <row r="122" spans="1:19" s="603" customFormat="1" ht="30" customHeight="1">
      <c r="A122" s="612">
        <v>13</v>
      </c>
      <c r="B122" s="613" t="s">
        <v>281</v>
      </c>
      <c r="C122" s="616">
        <v>5613.07</v>
      </c>
      <c r="D122" s="616"/>
      <c r="E122" s="616">
        <v>5497.62</v>
      </c>
      <c r="F122" s="616">
        <v>115.45</v>
      </c>
      <c r="G122" s="457">
        <f t="shared" si="16"/>
        <v>17527.305993</v>
      </c>
      <c r="H122" s="616"/>
      <c r="I122" s="616">
        <v>6324.358331</v>
      </c>
      <c r="J122" s="616">
        <v>0</v>
      </c>
      <c r="K122" s="616"/>
      <c r="L122" s="616">
        <f t="shared" si="17"/>
        <v>3802.3873</v>
      </c>
      <c r="M122" s="616">
        <v>140.6</v>
      </c>
      <c r="N122" s="616">
        <v>3661.7873</v>
      </c>
      <c r="O122" s="617">
        <v>7400.560362</v>
      </c>
      <c r="P122" s="617">
        <v>180.41367078978172</v>
      </c>
      <c r="Q122" s="617"/>
      <c r="R122" s="618">
        <v>116.22044322816055</v>
      </c>
      <c r="S122" s="602"/>
    </row>
    <row r="123" spans="1:19" s="603" customFormat="1" ht="30" customHeight="1">
      <c r="A123" s="612">
        <v>14</v>
      </c>
      <c r="B123" s="613" t="s">
        <v>282</v>
      </c>
      <c r="C123" s="616">
        <v>4414.1</v>
      </c>
      <c r="D123" s="616"/>
      <c r="E123" s="616">
        <v>4323.31</v>
      </c>
      <c r="F123" s="616">
        <v>90.79</v>
      </c>
      <c r="G123" s="457">
        <f t="shared" si="16"/>
        <v>7286.987824000001</v>
      </c>
      <c r="H123" s="616">
        <v>550</v>
      </c>
      <c r="I123" s="616">
        <v>5125.272825</v>
      </c>
      <c r="J123" s="616">
        <v>30</v>
      </c>
      <c r="K123" s="616"/>
      <c r="L123" s="616">
        <f t="shared" si="17"/>
        <v>107.328333</v>
      </c>
      <c r="M123" s="616"/>
      <c r="N123" s="616">
        <v>107.328333</v>
      </c>
      <c r="O123" s="617">
        <v>1474.386666</v>
      </c>
      <c r="P123" s="617">
        <v>131.6825889309259</v>
      </c>
      <c r="Q123" s="617"/>
      <c r="R123" s="618">
        <v>118.54974140184255</v>
      </c>
      <c r="S123" s="602"/>
    </row>
    <row r="124" spans="1:19" s="603" customFormat="1" ht="30" customHeight="1">
      <c r="A124" s="612">
        <v>15</v>
      </c>
      <c r="B124" s="613" t="s">
        <v>283</v>
      </c>
      <c r="C124" s="616">
        <v>4559.5599999999995</v>
      </c>
      <c r="D124" s="616"/>
      <c r="E124" s="616">
        <v>4465.78</v>
      </c>
      <c r="F124" s="616">
        <v>93.78</v>
      </c>
      <c r="G124" s="457">
        <f t="shared" si="16"/>
        <v>7394.94133</v>
      </c>
      <c r="H124" s="616"/>
      <c r="I124" s="616">
        <v>4899.7964569999995</v>
      </c>
      <c r="J124" s="616"/>
      <c r="K124" s="616"/>
      <c r="L124" s="616">
        <f t="shared" si="17"/>
        <v>1640.5237</v>
      </c>
      <c r="M124" s="619">
        <v>1440.588</v>
      </c>
      <c r="N124" s="616">
        <v>199.9357</v>
      </c>
      <c r="O124" s="617">
        <v>854.621173</v>
      </c>
      <c r="P124" s="617">
        <v>143.4418991525498</v>
      </c>
      <c r="Q124" s="617"/>
      <c r="R124" s="618">
        <v>109.71871558831828</v>
      </c>
      <c r="S124" s="602"/>
    </row>
    <row r="125" spans="1:19" s="603" customFormat="1" ht="30" customHeight="1">
      <c r="A125" s="612">
        <v>16</v>
      </c>
      <c r="B125" s="613" t="s">
        <v>284</v>
      </c>
      <c r="C125" s="616">
        <v>4572.96</v>
      </c>
      <c r="D125" s="616"/>
      <c r="E125" s="616">
        <v>4478.9</v>
      </c>
      <c r="F125" s="616">
        <v>94.06</v>
      </c>
      <c r="G125" s="457">
        <f t="shared" si="16"/>
        <v>10851.325349</v>
      </c>
      <c r="H125" s="616"/>
      <c r="I125" s="616">
        <v>4867.47851</v>
      </c>
      <c r="J125" s="616">
        <v>0</v>
      </c>
      <c r="K125" s="616"/>
      <c r="L125" s="616">
        <f t="shared" si="17"/>
        <v>4173.75845</v>
      </c>
      <c r="M125" s="616">
        <v>1686.447</v>
      </c>
      <c r="N125" s="616">
        <v>2487.31145</v>
      </c>
      <c r="O125" s="617">
        <v>1810.088389</v>
      </c>
      <c r="P125" s="617">
        <v>197.7108253734999</v>
      </c>
      <c r="Q125" s="617"/>
      <c r="R125" s="618">
        <v>108.67575766371206</v>
      </c>
      <c r="S125" s="602"/>
    </row>
    <row r="126" spans="1:19" s="605" customFormat="1" ht="27.75" customHeight="1">
      <c r="A126" s="612">
        <v>17</v>
      </c>
      <c r="B126" s="613" t="s">
        <v>285</v>
      </c>
      <c r="C126" s="616">
        <v>5218.03</v>
      </c>
      <c r="D126" s="616"/>
      <c r="E126" s="616">
        <v>5110.71</v>
      </c>
      <c r="F126" s="616">
        <v>107.32</v>
      </c>
      <c r="G126" s="457">
        <f t="shared" si="16"/>
        <v>14841.137756</v>
      </c>
      <c r="H126" s="616"/>
      <c r="I126" s="616">
        <v>5493.355142</v>
      </c>
      <c r="J126" s="616">
        <v>35</v>
      </c>
      <c r="K126" s="616"/>
      <c r="L126" s="616">
        <f t="shared" si="17"/>
        <v>5543.731400000001</v>
      </c>
      <c r="M126" s="616">
        <v>2292.773</v>
      </c>
      <c r="N126" s="616">
        <v>3250.9584</v>
      </c>
      <c r="O126" s="617">
        <v>3769.051214</v>
      </c>
      <c r="P126" s="617">
        <v>212.18901658288667</v>
      </c>
      <c r="Q126" s="617"/>
      <c r="R126" s="618">
        <v>107.48712296334561</v>
      </c>
      <c r="S126" s="604"/>
    </row>
    <row r="127" spans="1:19" s="605" customFormat="1" ht="26.25" customHeight="1">
      <c r="A127" s="614">
        <v>18</v>
      </c>
      <c r="B127" s="615" t="s">
        <v>286</v>
      </c>
      <c r="C127" s="620">
        <v>4178.37</v>
      </c>
      <c r="D127" s="620"/>
      <c r="E127" s="620">
        <v>4092.43</v>
      </c>
      <c r="F127" s="620">
        <v>85.94</v>
      </c>
      <c r="G127" s="803">
        <f t="shared" si="16"/>
        <v>5607.375155</v>
      </c>
      <c r="H127" s="620">
        <v>0</v>
      </c>
      <c r="I127" s="620">
        <v>4437.783657</v>
      </c>
      <c r="J127" s="620">
        <v>58.44</v>
      </c>
      <c r="K127" s="620"/>
      <c r="L127" s="620">
        <f t="shared" si="17"/>
        <v>597.2979</v>
      </c>
      <c r="M127" s="620"/>
      <c r="N127" s="620">
        <v>597.2979</v>
      </c>
      <c r="O127" s="621">
        <v>513.853598</v>
      </c>
      <c r="P127" s="621">
        <v>121.90211869700387</v>
      </c>
      <c r="Q127" s="621"/>
      <c r="R127" s="622">
        <v>108.43884090870218</v>
      </c>
      <c r="S127" s="604"/>
    </row>
    <row r="128" spans="3:14" ht="18">
      <c r="C128" s="44"/>
      <c r="D128" s="44"/>
      <c r="E128" s="44"/>
      <c r="F128" s="44"/>
      <c r="G128" s="44"/>
      <c r="H128" s="44"/>
      <c r="I128" s="44"/>
      <c r="J128" s="44"/>
      <c r="K128" s="44"/>
      <c r="L128" s="44"/>
      <c r="M128" s="44"/>
      <c r="N128" s="44"/>
    </row>
    <row r="129" spans="1:14" ht="18">
      <c r="A129" s="45" t="s">
        <v>465</v>
      </c>
      <c r="C129" s="44"/>
      <c r="D129" s="44"/>
      <c r="E129" s="44"/>
      <c r="F129" s="44"/>
      <c r="G129" s="44"/>
      <c r="H129" s="44"/>
      <c r="I129" s="44"/>
      <c r="J129" s="44"/>
      <c r="K129" s="44"/>
      <c r="L129" s="44"/>
      <c r="M129" s="44"/>
      <c r="N129" s="44"/>
    </row>
    <row r="130" spans="1:14" ht="18">
      <c r="A130" s="46" t="s">
        <v>160</v>
      </c>
      <c r="C130" s="44"/>
      <c r="D130" s="44"/>
      <c r="E130" s="44"/>
      <c r="F130" s="44"/>
      <c r="G130" s="44"/>
      <c r="H130" s="44"/>
      <c r="I130" s="44"/>
      <c r="J130" s="44"/>
      <c r="K130" s="44"/>
      <c r="L130" s="44"/>
      <c r="M130" s="44"/>
      <c r="N130" s="44"/>
    </row>
    <row r="131" spans="1:14" ht="18">
      <c r="A131" s="46" t="s">
        <v>161</v>
      </c>
      <c r="C131" s="44"/>
      <c r="D131" s="44"/>
      <c r="E131" s="44"/>
      <c r="F131" s="44"/>
      <c r="G131" s="44"/>
      <c r="H131" s="44"/>
      <c r="I131" s="44"/>
      <c r="J131" s="44"/>
      <c r="K131" s="44"/>
      <c r="L131" s="44"/>
      <c r="M131" s="44"/>
      <c r="N131" s="44"/>
    </row>
    <row r="132" spans="1:14" ht="18">
      <c r="A132" s="46" t="s">
        <v>160</v>
      </c>
      <c r="C132" s="44"/>
      <c r="D132" s="44"/>
      <c r="E132" s="44"/>
      <c r="F132" s="44"/>
      <c r="G132" s="44"/>
      <c r="H132" s="44"/>
      <c r="I132" s="44"/>
      <c r="J132" s="44"/>
      <c r="K132" s="44"/>
      <c r="L132" s="44"/>
      <c r="M132" s="44"/>
      <c r="N132" s="44"/>
    </row>
    <row r="133" spans="1:14" ht="18">
      <c r="A133" s="46" t="s">
        <v>161</v>
      </c>
      <c r="C133" s="44"/>
      <c r="D133" s="44"/>
      <c r="E133" s="44"/>
      <c r="F133" s="44"/>
      <c r="G133" s="44"/>
      <c r="H133" s="44"/>
      <c r="I133" s="44"/>
      <c r="J133" s="44"/>
      <c r="K133" s="44"/>
      <c r="L133" s="44"/>
      <c r="M133" s="44"/>
      <c r="N133" s="44"/>
    </row>
    <row r="134" spans="3:14" ht="18">
      <c r="C134" s="44"/>
      <c r="D134" s="44"/>
      <c r="E134" s="44"/>
      <c r="F134" s="44"/>
      <c r="G134" s="44"/>
      <c r="H134" s="44"/>
      <c r="I134" s="44"/>
      <c r="J134" s="44"/>
      <c r="K134" s="44"/>
      <c r="L134" s="44"/>
      <c r="M134" s="44"/>
      <c r="N134" s="44"/>
    </row>
    <row r="135" spans="3:14" ht="18">
      <c r="C135" s="44"/>
      <c r="D135" s="44"/>
      <c r="E135" s="44"/>
      <c r="F135" s="44"/>
      <c r="G135" s="44"/>
      <c r="H135" s="44"/>
      <c r="I135" s="44"/>
      <c r="J135" s="44"/>
      <c r="K135" s="44"/>
      <c r="L135" s="44"/>
      <c r="M135" s="44"/>
      <c r="N135" s="44"/>
    </row>
    <row r="136" spans="3:14" ht="18">
      <c r="C136" s="44"/>
      <c r="D136" s="44"/>
      <c r="E136" s="44"/>
      <c r="F136" s="44"/>
      <c r="G136" s="44"/>
      <c r="H136" s="44"/>
      <c r="I136" s="44"/>
      <c r="J136" s="44"/>
      <c r="K136" s="44"/>
      <c r="L136" s="44"/>
      <c r="M136" s="44"/>
      <c r="N136" s="44"/>
    </row>
    <row r="137" spans="3:14" ht="18">
      <c r="C137" s="44"/>
      <c r="D137" s="44"/>
      <c r="E137" s="44"/>
      <c r="F137" s="44"/>
      <c r="G137" s="44"/>
      <c r="H137" s="44"/>
      <c r="I137" s="44"/>
      <c r="J137" s="44"/>
      <c r="K137" s="44"/>
      <c r="L137" s="44"/>
      <c r="M137" s="44"/>
      <c r="N137" s="44"/>
    </row>
    <row r="138" spans="3:14" ht="18">
      <c r="C138" s="44"/>
      <c r="D138" s="44"/>
      <c r="E138" s="44"/>
      <c r="F138" s="44"/>
      <c r="G138" s="44"/>
      <c r="H138" s="44"/>
      <c r="I138" s="44"/>
      <c r="J138" s="44"/>
      <c r="K138" s="44"/>
      <c r="L138" s="44"/>
      <c r="M138" s="44"/>
      <c r="N138" s="44"/>
    </row>
    <row r="139" spans="3:14" ht="18">
      <c r="C139" s="44"/>
      <c r="D139" s="44"/>
      <c r="E139" s="44"/>
      <c r="F139" s="44"/>
      <c r="G139" s="44"/>
      <c r="H139" s="44"/>
      <c r="I139" s="44"/>
      <c r="J139" s="44"/>
      <c r="K139" s="44"/>
      <c r="L139" s="44"/>
      <c r="M139" s="44"/>
      <c r="N139" s="44"/>
    </row>
    <row r="140" spans="3:14" ht="18">
      <c r="C140" s="44"/>
      <c r="D140" s="44"/>
      <c r="E140" s="44"/>
      <c r="F140" s="44"/>
      <c r="G140" s="44"/>
      <c r="H140" s="44"/>
      <c r="I140" s="44"/>
      <c r="J140" s="44"/>
      <c r="K140" s="44"/>
      <c r="L140" s="44"/>
      <c r="M140" s="44"/>
      <c r="N140" s="44"/>
    </row>
    <row r="141" spans="3:14" ht="18">
      <c r="C141" s="44"/>
      <c r="D141" s="44"/>
      <c r="E141" s="44"/>
      <c r="F141" s="44"/>
      <c r="G141" s="44"/>
      <c r="H141" s="44"/>
      <c r="I141" s="44"/>
      <c r="J141" s="44"/>
      <c r="K141" s="44"/>
      <c r="L141" s="44"/>
      <c r="M141" s="44"/>
      <c r="N141" s="44"/>
    </row>
    <row r="142" spans="3:14" ht="18">
      <c r="C142" s="44"/>
      <c r="D142" s="44"/>
      <c r="E142" s="44"/>
      <c r="F142" s="44"/>
      <c r="G142" s="44"/>
      <c r="H142" s="44"/>
      <c r="I142" s="44"/>
      <c r="J142" s="44"/>
      <c r="K142" s="44"/>
      <c r="L142" s="44"/>
      <c r="M142" s="44"/>
      <c r="N142" s="44"/>
    </row>
    <row r="143" spans="3:14" ht="18">
      <c r="C143" s="44"/>
      <c r="D143" s="44"/>
      <c r="E143" s="44"/>
      <c r="F143" s="44"/>
      <c r="G143" s="44"/>
      <c r="H143" s="44"/>
      <c r="I143" s="44"/>
      <c r="J143" s="44"/>
      <c r="K143" s="44"/>
      <c r="L143" s="44"/>
      <c r="M143" s="44"/>
      <c r="N143" s="44"/>
    </row>
    <row r="144" spans="3:14" ht="18">
      <c r="C144" s="44"/>
      <c r="D144" s="44"/>
      <c r="E144" s="44"/>
      <c r="F144" s="44"/>
      <c r="G144" s="44"/>
      <c r="H144" s="44"/>
      <c r="I144" s="44"/>
      <c r="J144" s="44"/>
      <c r="K144" s="44"/>
      <c r="L144" s="44"/>
      <c r="M144" s="44"/>
      <c r="N144" s="44"/>
    </row>
    <row r="145" spans="3:14" ht="18">
      <c r="C145" s="44"/>
      <c r="D145" s="44"/>
      <c r="E145" s="44"/>
      <c r="F145" s="44"/>
      <c r="G145" s="44"/>
      <c r="H145" s="44"/>
      <c r="I145" s="44"/>
      <c r="J145" s="44"/>
      <c r="K145" s="44"/>
      <c r="L145" s="44"/>
      <c r="M145" s="44"/>
      <c r="N145" s="44"/>
    </row>
    <row r="146" spans="3:14" ht="18">
      <c r="C146" s="44"/>
      <c r="D146" s="44"/>
      <c r="E146" s="44"/>
      <c r="F146" s="44"/>
      <c r="G146" s="44"/>
      <c r="H146" s="44"/>
      <c r="I146" s="44"/>
      <c r="J146" s="44"/>
      <c r="K146" s="44"/>
      <c r="L146" s="44"/>
      <c r="M146" s="44"/>
      <c r="N146" s="44"/>
    </row>
    <row r="147" spans="3:14" ht="18">
      <c r="C147" s="44"/>
      <c r="D147" s="44"/>
      <c r="E147" s="44"/>
      <c r="F147" s="44"/>
      <c r="G147" s="44"/>
      <c r="H147" s="44"/>
      <c r="I147" s="44"/>
      <c r="J147" s="44"/>
      <c r="K147" s="44"/>
      <c r="L147" s="44"/>
      <c r="M147" s="44"/>
      <c r="N147" s="44"/>
    </row>
    <row r="148" spans="3:14" ht="18">
      <c r="C148" s="44"/>
      <c r="D148" s="44"/>
      <c r="E148" s="44"/>
      <c r="F148" s="44"/>
      <c r="G148" s="44"/>
      <c r="H148" s="44"/>
      <c r="I148" s="44"/>
      <c r="J148" s="44"/>
      <c r="K148" s="44"/>
      <c r="L148" s="44"/>
      <c r="M148" s="44"/>
      <c r="N148" s="44"/>
    </row>
    <row r="149" spans="3:14" ht="18">
      <c r="C149" s="44"/>
      <c r="D149" s="44"/>
      <c r="E149" s="44"/>
      <c r="F149" s="44"/>
      <c r="G149" s="44"/>
      <c r="H149" s="44"/>
      <c r="I149" s="44"/>
      <c r="J149" s="44"/>
      <c r="K149" s="44"/>
      <c r="L149" s="44"/>
      <c r="M149" s="44"/>
      <c r="N149" s="44"/>
    </row>
    <row r="150" spans="3:14" ht="18">
      <c r="C150" s="44"/>
      <c r="D150" s="44"/>
      <c r="E150" s="44"/>
      <c r="F150" s="44"/>
      <c r="G150" s="44"/>
      <c r="H150" s="44"/>
      <c r="I150" s="44"/>
      <c r="J150" s="44"/>
      <c r="K150" s="44"/>
      <c r="L150" s="44"/>
      <c r="M150" s="44"/>
      <c r="N150" s="44"/>
    </row>
    <row r="151" spans="3:14" ht="18">
      <c r="C151" s="44"/>
      <c r="D151" s="44"/>
      <c r="E151" s="44"/>
      <c r="F151" s="44"/>
      <c r="G151" s="44"/>
      <c r="H151" s="44"/>
      <c r="I151" s="44"/>
      <c r="J151" s="44"/>
      <c r="K151" s="44"/>
      <c r="L151" s="44"/>
      <c r="M151" s="44"/>
      <c r="N151" s="44"/>
    </row>
    <row r="152" spans="3:14" ht="18">
      <c r="C152" s="44"/>
      <c r="D152" s="44"/>
      <c r="E152" s="44"/>
      <c r="F152" s="44"/>
      <c r="G152" s="44"/>
      <c r="H152" s="44"/>
      <c r="I152" s="44"/>
      <c r="J152" s="44"/>
      <c r="K152" s="44"/>
      <c r="L152" s="44"/>
      <c r="M152" s="44"/>
      <c r="N152" s="44"/>
    </row>
    <row r="153" spans="3:14" ht="18">
      <c r="C153" s="44"/>
      <c r="D153" s="44"/>
      <c r="E153" s="44"/>
      <c r="F153" s="44"/>
      <c r="G153" s="44"/>
      <c r="H153" s="44"/>
      <c r="I153" s="44"/>
      <c r="J153" s="44"/>
      <c r="K153" s="44"/>
      <c r="L153" s="44"/>
      <c r="M153" s="44"/>
      <c r="N153" s="44"/>
    </row>
    <row r="154" spans="3:14" ht="18">
      <c r="C154" s="44"/>
      <c r="D154" s="44"/>
      <c r="E154" s="44"/>
      <c r="F154" s="44"/>
      <c r="G154" s="44"/>
      <c r="H154" s="44"/>
      <c r="I154" s="44"/>
      <c r="J154" s="44"/>
      <c r="K154" s="44"/>
      <c r="L154" s="44"/>
      <c r="M154" s="44"/>
      <c r="N154" s="44"/>
    </row>
    <row r="155" spans="3:14" ht="18">
      <c r="C155" s="44"/>
      <c r="D155" s="44"/>
      <c r="E155" s="44"/>
      <c r="F155" s="44"/>
      <c r="G155" s="44"/>
      <c r="H155" s="44"/>
      <c r="I155" s="44"/>
      <c r="J155" s="44"/>
      <c r="K155" s="44"/>
      <c r="L155" s="44"/>
      <c r="M155" s="44"/>
      <c r="N155" s="44"/>
    </row>
    <row r="156" spans="3:14" ht="18">
      <c r="C156" s="44"/>
      <c r="D156" s="44"/>
      <c r="E156" s="44"/>
      <c r="F156" s="44"/>
      <c r="G156" s="44"/>
      <c r="H156" s="44"/>
      <c r="I156" s="44"/>
      <c r="J156" s="44"/>
      <c r="K156" s="44"/>
      <c r="L156" s="44"/>
      <c r="M156" s="44"/>
      <c r="N156" s="44"/>
    </row>
    <row r="157" spans="3:14" ht="18">
      <c r="C157" s="44"/>
      <c r="D157" s="44"/>
      <c r="E157" s="44"/>
      <c r="F157" s="44"/>
      <c r="G157" s="44"/>
      <c r="H157" s="44"/>
      <c r="I157" s="44"/>
      <c r="J157" s="44"/>
      <c r="K157" s="44"/>
      <c r="L157" s="44"/>
      <c r="M157" s="44"/>
      <c r="N157" s="44"/>
    </row>
    <row r="158" spans="3:14" ht="18">
      <c r="C158" s="44"/>
      <c r="D158" s="44"/>
      <c r="E158" s="44"/>
      <c r="F158" s="44"/>
      <c r="G158" s="44"/>
      <c r="H158" s="44"/>
      <c r="I158" s="44"/>
      <c r="J158" s="44"/>
      <c r="K158" s="44"/>
      <c r="L158" s="44"/>
      <c r="M158" s="44"/>
      <c r="N158" s="44"/>
    </row>
    <row r="159" spans="3:14" ht="18">
      <c r="C159" s="44"/>
      <c r="D159" s="44"/>
      <c r="E159" s="44"/>
      <c r="F159" s="44"/>
      <c r="G159" s="44"/>
      <c r="H159" s="44"/>
      <c r="I159" s="44"/>
      <c r="J159" s="44"/>
      <c r="K159" s="44"/>
      <c r="L159" s="44"/>
      <c r="M159" s="44"/>
      <c r="N159" s="44"/>
    </row>
    <row r="160" spans="3:14" ht="18">
      <c r="C160" s="44"/>
      <c r="D160" s="44"/>
      <c r="E160" s="44"/>
      <c r="F160" s="44"/>
      <c r="G160" s="44"/>
      <c r="H160" s="44"/>
      <c r="I160" s="44"/>
      <c r="J160" s="44"/>
      <c r="K160" s="44"/>
      <c r="L160" s="44"/>
      <c r="M160" s="44"/>
      <c r="N160" s="44"/>
    </row>
    <row r="161" spans="3:14" ht="18">
      <c r="C161" s="44"/>
      <c r="D161" s="44"/>
      <c r="E161" s="44"/>
      <c r="F161" s="44"/>
      <c r="G161" s="44"/>
      <c r="H161" s="44"/>
      <c r="I161" s="44"/>
      <c r="J161" s="44"/>
      <c r="K161" s="44"/>
      <c r="L161" s="44"/>
      <c r="M161" s="44"/>
      <c r="N161" s="44"/>
    </row>
    <row r="162" spans="3:14" ht="18">
      <c r="C162" s="44"/>
      <c r="D162" s="44"/>
      <c r="E162" s="44"/>
      <c r="F162" s="44"/>
      <c r="G162" s="44"/>
      <c r="H162" s="44"/>
      <c r="I162" s="44"/>
      <c r="J162" s="44"/>
      <c r="K162" s="44"/>
      <c r="L162" s="44"/>
      <c r="M162" s="44"/>
      <c r="N162" s="44"/>
    </row>
    <row r="163" spans="3:14" ht="18">
      <c r="C163" s="44"/>
      <c r="D163" s="44"/>
      <c r="E163" s="44"/>
      <c r="F163" s="44"/>
      <c r="G163" s="44"/>
      <c r="H163" s="44"/>
      <c r="I163" s="44"/>
      <c r="J163" s="44"/>
      <c r="K163" s="44"/>
      <c r="L163" s="44"/>
      <c r="M163" s="44"/>
      <c r="N163" s="44"/>
    </row>
    <row r="164" spans="3:14" ht="18">
      <c r="C164" s="44"/>
      <c r="D164" s="44"/>
      <c r="E164" s="44"/>
      <c r="F164" s="44"/>
      <c r="G164" s="44"/>
      <c r="H164" s="44"/>
      <c r="I164" s="44"/>
      <c r="J164" s="44"/>
      <c r="K164" s="44"/>
      <c r="L164" s="44"/>
      <c r="M164" s="44"/>
      <c r="N164" s="44"/>
    </row>
    <row r="165" spans="3:14" ht="18">
      <c r="C165" s="44"/>
      <c r="D165" s="44"/>
      <c r="E165" s="44"/>
      <c r="F165" s="44"/>
      <c r="G165" s="44"/>
      <c r="H165" s="44"/>
      <c r="I165" s="44"/>
      <c r="J165" s="44"/>
      <c r="K165" s="44"/>
      <c r="L165" s="44"/>
      <c r="M165" s="44"/>
      <c r="N165" s="44"/>
    </row>
  </sheetData>
  <sheetProtection/>
  <mergeCells count="23">
    <mergeCell ref="B6:B8"/>
    <mergeCell ref="G7:G8"/>
    <mergeCell ref="C7:C8"/>
    <mergeCell ref="I7:I8"/>
    <mergeCell ref="K7:K8"/>
    <mergeCell ref="J7:J8"/>
    <mergeCell ref="O7:O8"/>
    <mergeCell ref="R7:R8"/>
    <mergeCell ref="D7:D8"/>
    <mergeCell ref="P7:P8"/>
    <mergeCell ref="F7:F8"/>
    <mergeCell ref="E7:E8"/>
    <mergeCell ref="Q7:Q8"/>
    <mergeCell ref="N1:R1"/>
    <mergeCell ref="N2:R2"/>
    <mergeCell ref="H7:H8"/>
    <mergeCell ref="A3:R3"/>
    <mergeCell ref="A4:R4"/>
    <mergeCell ref="C6:F6"/>
    <mergeCell ref="G6:O6"/>
    <mergeCell ref="P6:R6"/>
    <mergeCell ref="A6:A8"/>
    <mergeCell ref="L7:N7"/>
  </mergeCells>
  <printOptions horizontalCentered="1"/>
  <pageMargins left="0" right="0" top="0.984251968503937" bottom="0.5118110236220472" header="0" footer="0"/>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4" sqref="A4:T4"/>
    </sheetView>
  </sheetViews>
  <sheetFormatPr defaultColWidth="9.140625" defaultRowHeight="12.75"/>
  <cols>
    <col min="1" max="1" width="5.00390625" style="31" customWidth="1"/>
    <col min="2" max="2" width="16.7109375" style="31" customWidth="1"/>
    <col min="3" max="3" width="13.421875" style="312" customWidth="1"/>
    <col min="4" max="4" width="14.57421875" style="31" customWidth="1"/>
    <col min="5" max="5" width="13.7109375" style="31" customWidth="1"/>
    <col min="6" max="6" width="6.7109375" style="31" customWidth="1"/>
    <col min="7" max="7" width="8.28125" style="31" customWidth="1"/>
    <col min="8" max="8" width="10.421875" style="31" customWidth="1"/>
    <col min="9" max="9" width="12.28125" style="31" customWidth="1"/>
    <col min="10" max="10" width="13.140625" style="31" customWidth="1"/>
    <col min="11" max="11" width="8.421875" style="31" customWidth="1"/>
    <col min="12" max="13" width="8.28125" style="31" customWidth="1"/>
    <col min="14" max="14" width="13.28125" style="31" customWidth="1"/>
    <col min="15" max="15" width="13.140625" style="31" customWidth="1"/>
    <col min="16" max="16" width="12.00390625" style="31" customWidth="1"/>
    <col min="17" max="17" width="7.8515625" style="31" customWidth="1"/>
    <col min="18" max="18" width="7.140625" style="31" customWidth="1"/>
    <col min="19" max="19" width="12.7109375" style="31" customWidth="1"/>
    <col min="20" max="20" width="11.57421875" style="31" customWidth="1"/>
    <col min="21" max="21" width="15.7109375" style="31" customWidth="1"/>
    <col min="22" max="16384" width="9.140625" style="31" customWidth="1"/>
  </cols>
  <sheetData>
    <row r="1" spans="16:20" ht="15">
      <c r="P1" s="840" t="s">
        <v>162</v>
      </c>
      <c r="Q1" s="840"/>
      <c r="R1" s="840"/>
      <c r="S1" s="840"/>
      <c r="T1" s="840"/>
    </row>
    <row r="2" spans="16:20" ht="15">
      <c r="P2" s="841" t="s">
        <v>625</v>
      </c>
      <c r="Q2" s="841"/>
      <c r="R2" s="841"/>
      <c r="S2" s="841"/>
      <c r="T2" s="841"/>
    </row>
    <row r="3" spans="1:20" ht="15">
      <c r="A3" s="840" t="s">
        <v>727</v>
      </c>
      <c r="B3" s="840"/>
      <c r="C3" s="840"/>
      <c r="D3" s="840"/>
      <c r="E3" s="840"/>
      <c r="F3" s="840"/>
      <c r="G3" s="840"/>
      <c r="H3" s="840"/>
      <c r="I3" s="840"/>
      <c r="J3" s="840"/>
      <c r="K3" s="840"/>
      <c r="L3" s="840"/>
      <c r="M3" s="840"/>
      <c r="N3" s="840"/>
      <c r="O3" s="840"/>
      <c r="P3" s="840"/>
      <c r="Q3" s="840"/>
      <c r="R3" s="840"/>
      <c r="S3" s="840"/>
      <c r="T3" s="840"/>
    </row>
    <row r="4" spans="1:20" ht="15">
      <c r="A4" s="831" t="str">
        <f>'bieu 48 '!A4:F4</f>
        <v>(Kèm theo Báo cáo số 627/BC-UBND ngày 10 tháng 7 năm 2024 của UBND huyện Bắc Sơn)</v>
      </c>
      <c r="B4" s="831"/>
      <c r="C4" s="831"/>
      <c r="D4" s="831"/>
      <c r="E4" s="831"/>
      <c r="F4" s="831"/>
      <c r="G4" s="831"/>
      <c r="H4" s="831"/>
      <c r="I4" s="831"/>
      <c r="J4" s="831"/>
      <c r="K4" s="831"/>
      <c r="L4" s="831"/>
      <c r="M4" s="831"/>
      <c r="N4" s="831"/>
      <c r="O4" s="831"/>
      <c r="P4" s="831"/>
      <c r="Q4" s="831"/>
      <c r="R4" s="831"/>
      <c r="S4" s="831"/>
      <c r="T4" s="831"/>
    </row>
    <row r="5" spans="1:20" s="320" customFormat="1" ht="15">
      <c r="A5" s="31"/>
      <c r="B5" s="31"/>
      <c r="C5" s="312"/>
      <c r="D5" s="318"/>
      <c r="E5" s="31"/>
      <c r="F5" s="31"/>
      <c r="G5" s="31"/>
      <c r="H5" s="31"/>
      <c r="I5" s="31"/>
      <c r="J5" s="31"/>
      <c r="K5" s="31"/>
      <c r="L5" s="31"/>
      <c r="M5" s="31"/>
      <c r="N5" s="31"/>
      <c r="O5" s="31"/>
      <c r="P5" s="31"/>
      <c r="Q5" s="31"/>
      <c r="R5" s="31"/>
      <c r="S5" s="31"/>
      <c r="T5" s="319" t="s">
        <v>22</v>
      </c>
    </row>
    <row r="6" spans="1:20" s="320" customFormat="1" ht="90" customHeight="1">
      <c r="A6" s="842" t="s">
        <v>23</v>
      </c>
      <c r="B6" s="842" t="s">
        <v>153</v>
      </c>
      <c r="C6" s="837" t="s">
        <v>25</v>
      </c>
      <c r="D6" s="842" t="s">
        <v>26</v>
      </c>
      <c r="E6" s="842" t="s">
        <v>110</v>
      </c>
      <c r="F6" s="842" t="s">
        <v>118</v>
      </c>
      <c r="G6" s="842" t="s">
        <v>128</v>
      </c>
      <c r="H6" s="842" t="s">
        <v>129</v>
      </c>
      <c r="I6" s="842" t="s">
        <v>130</v>
      </c>
      <c r="J6" s="842" t="s">
        <v>131</v>
      </c>
      <c r="K6" s="842" t="s">
        <v>132</v>
      </c>
      <c r="L6" s="842" t="s">
        <v>133</v>
      </c>
      <c r="M6" s="842" t="s">
        <v>134</v>
      </c>
      <c r="N6" s="842" t="s">
        <v>135</v>
      </c>
      <c r="O6" s="842" t="s">
        <v>163</v>
      </c>
      <c r="P6" s="842"/>
      <c r="Q6" s="842" t="s">
        <v>136</v>
      </c>
      <c r="R6" s="842" t="s">
        <v>137</v>
      </c>
      <c r="S6" s="842" t="s">
        <v>138</v>
      </c>
      <c r="T6" s="842" t="s">
        <v>76</v>
      </c>
    </row>
    <row r="7" spans="1:20" s="320" customFormat="1" ht="75">
      <c r="A7" s="842"/>
      <c r="B7" s="842"/>
      <c r="C7" s="837"/>
      <c r="D7" s="842"/>
      <c r="E7" s="842"/>
      <c r="F7" s="842"/>
      <c r="G7" s="842"/>
      <c r="H7" s="842"/>
      <c r="I7" s="842"/>
      <c r="J7" s="842"/>
      <c r="K7" s="842"/>
      <c r="L7" s="842"/>
      <c r="M7" s="842"/>
      <c r="N7" s="842"/>
      <c r="O7" s="301" t="s">
        <v>164</v>
      </c>
      <c r="P7" s="301" t="s">
        <v>165</v>
      </c>
      <c r="Q7" s="842"/>
      <c r="R7" s="842"/>
      <c r="S7" s="842"/>
      <c r="T7" s="842"/>
    </row>
    <row r="8" spans="1:21" s="330" customFormat="1" ht="24" customHeight="1">
      <c r="A8" s="321" t="s">
        <v>30</v>
      </c>
      <c r="B8" s="321" t="s">
        <v>31</v>
      </c>
      <c r="C8" s="321">
        <v>1</v>
      </c>
      <c r="D8" s="321">
        <v>2</v>
      </c>
      <c r="E8" s="321">
        <v>3</v>
      </c>
      <c r="F8" s="321">
        <v>4</v>
      </c>
      <c r="G8" s="321">
        <v>5</v>
      </c>
      <c r="H8" s="321">
        <v>6</v>
      </c>
      <c r="I8" s="321">
        <v>7</v>
      </c>
      <c r="J8" s="321">
        <v>8</v>
      </c>
      <c r="K8" s="321">
        <v>9</v>
      </c>
      <c r="L8" s="321">
        <v>10</v>
      </c>
      <c r="M8" s="321">
        <v>11</v>
      </c>
      <c r="N8" s="321">
        <v>12</v>
      </c>
      <c r="O8" s="321">
        <v>13</v>
      </c>
      <c r="P8" s="321">
        <v>14</v>
      </c>
      <c r="Q8" s="321">
        <v>15</v>
      </c>
      <c r="R8" s="321">
        <v>16</v>
      </c>
      <c r="S8" s="321">
        <v>17</v>
      </c>
      <c r="T8" s="321" t="s">
        <v>166</v>
      </c>
      <c r="U8" s="509"/>
    </row>
    <row r="9" spans="1:21" s="325" customFormat="1" ht="24" customHeight="1">
      <c r="A9" s="328"/>
      <c r="B9" s="328" t="s">
        <v>158</v>
      </c>
      <c r="C9" s="476">
        <f>C10+C16</f>
        <v>61835</v>
      </c>
      <c r="D9" s="476">
        <f aca="true" t="shared" si="0" ref="D9:S9">D10+D16</f>
        <v>150663.155</v>
      </c>
      <c r="E9" s="476">
        <f t="shared" si="0"/>
        <v>61063.694</v>
      </c>
      <c r="F9" s="476">
        <f t="shared" si="0"/>
        <v>0</v>
      </c>
      <c r="G9" s="476">
        <f t="shared" si="0"/>
        <v>0</v>
      </c>
      <c r="H9" s="476">
        <f t="shared" si="0"/>
        <v>200</v>
      </c>
      <c r="I9" s="476">
        <f t="shared" si="0"/>
        <v>3211.735</v>
      </c>
      <c r="J9" s="476">
        <f t="shared" si="0"/>
        <v>13505.137999999999</v>
      </c>
      <c r="K9" s="476">
        <f t="shared" si="0"/>
        <v>0</v>
      </c>
      <c r="L9" s="476">
        <f t="shared" si="0"/>
        <v>0</v>
      </c>
      <c r="M9" s="476">
        <f t="shared" si="0"/>
        <v>0</v>
      </c>
      <c r="N9" s="476">
        <f t="shared" si="0"/>
        <v>70062.359</v>
      </c>
      <c r="O9" s="476">
        <f t="shared" si="0"/>
        <v>57858.621</v>
      </c>
      <c r="P9" s="476">
        <f t="shared" si="0"/>
        <v>2618.72</v>
      </c>
      <c r="Q9" s="476">
        <f t="shared" si="0"/>
        <v>0</v>
      </c>
      <c r="R9" s="476">
        <f t="shared" si="0"/>
        <v>0</v>
      </c>
      <c r="S9" s="476">
        <f t="shared" si="0"/>
        <v>2620.2290000000003</v>
      </c>
      <c r="T9" s="329">
        <f aca="true" t="shared" si="1" ref="T9:T14">D9/C9</f>
        <v>2.4365352146842403</v>
      </c>
      <c r="U9" s="324"/>
    </row>
    <row r="10" spans="1:20" s="320" customFormat="1" ht="22.5" customHeight="1">
      <c r="A10" s="322" t="s">
        <v>35</v>
      </c>
      <c r="B10" s="322" t="s">
        <v>495</v>
      </c>
      <c r="C10" s="477">
        <f aca="true" t="shared" si="2" ref="C10:S10">SUM(C11:C15)</f>
        <v>61835</v>
      </c>
      <c r="D10" s="477">
        <f t="shared" si="2"/>
        <v>138433.384</v>
      </c>
      <c r="E10" s="477">
        <f t="shared" si="2"/>
        <v>61063.694</v>
      </c>
      <c r="F10" s="477">
        <f t="shared" si="2"/>
        <v>0</v>
      </c>
      <c r="G10" s="477">
        <f t="shared" si="2"/>
        <v>0</v>
      </c>
      <c r="H10" s="477">
        <f t="shared" si="2"/>
        <v>200</v>
      </c>
      <c r="I10" s="477">
        <f t="shared" si="2"/>
        <v>3211.735</v>
      </c>
      <c r="J10" s="477">
        <f t="shared" si="2"/>
        <v>13070.818</v>
      </c>
      <c r="K10" s="477">
        <f t="shared" si="2"/>
        <v>0</v>
      </c>
      <c r="L10" s="477">
        <f t="shared" si="2"/>
        <v>0</v>
      </c>
      <c r="M10" s="477">
        <f t="shared" si="2"/>
        <v>0</v>
      </c>
      <c r="N10" s="477">
        <f t="shared" si="2"/>
        <v>60887.136999999995</v>
      </c>
      <c r="O10" s="477">
        <f t="shared" si="2"/>
        <v>48683.399</v>
      </c>
      <c r="P10" s="477">
        <f t="shared" si="2"/>
        <v>2618.72</v>
      </c>
      <c r="Q10" s="477">
        <f t="shared" si="2"/>
        <v>0</v>
      </c>
      <c r="R10" s="477">
        <f t="shared" si="2"/>
        <v>0</v>
      </c>
      <c r="S10" s="477">
        <f t="shared" si="2"/>
        <v>0</v>
      </c>
      <c r="T10" s="323">
        <f t="shared" si="1"/>
        <v>2.238754491792674</v>
      </c>
    </row>
    <row r="11" spans="1:20" s="345" customFormat="1" ht="30.75">
      <c r="A11" s="343">
        <v>1</v>
      </c>
      <c r="B11" s="326" t="s">
        <v>297</v>
      </c>
      <c r="C11" s="478">
        <v>2402</v>
      </c>
      <c r="D11" s="479">
        <f>E11+F11+G11+H11+I11+J11+K11+L11+M11+N11+Q11+R11+S11</f>
        <v>3660.699</v>
      </c>
      <c r="E11" s="479"/>
      <c r="F11" s="479"/>
      <c r="G11" s="479"/>
      <c r="H11" s="479"/>
      <c r="I11" s="479"/>
      <c r="J11" s="479"/>
      <c r="K11" s="479"/>
      <c r="L11" s="479"/>
      <c r="M11" s="479"/>
      <c r="N11" s="479">
        <v>3660.699</v>
      </c>
      <c r="O11" s="479">
        <v>3410.699</v>
      </c>
      <c r="P11" s="479"/>
      <c r="Q11" s="479"/>
      <c r="R11" s="479"/>
      <c r="S11" s="479"/>
      <c r="T11" s="344">
        <f t="shared" si="1"/>
        <v>1.5240212323064113</v>
      </c>
    </row>
    <row r="12" spans="1:20" s="345" customFormat="1" ht="30.75">
      <c r="A12" s="343">
        <v>2</v>
      </c>
      <c r="B12" s="326" t="s">
        <v>728</v>
      </c>
      <c r="C12" s="479">
        <v>150</v>
      </c>
      <c r="D12" s="479">
        <f>E12+F12+G12+H12+I12+J12+K12+L12+M12+N12+Q12+R12+S12</f>
        <v>349.328</v>
      </c>
      <c r="E12" s="479"/>
      <c r="F12" s="479"/>
      <c r="G12" s="479"/>
      <c r="H12" s="479"/>
      <c r="I12" s="479"/>
      <c r="J12" s="479"/>
      <c r="K12" s="479"/>
      <c r="L12" s="479"/>
      <c r="M12" s="479"/>
      <c r="N12" s="479">
        <v>349.328</v>
      </c>
      <c r="O12" s="479"/>
      <c r="P12" s="479">
        <v>349.328</v>
      </c>
      <c r="Q12" s="479"/>
      <c r="R12" s="479"/>
      <c r="S12" s="479"/>
      <c r="T12" s="344">
        <f t="shared" si="1"/>
        <v>2.328853333333333</v>
      </c>
    </row>
    <row r="13" spans="1:20" s="345" customFormat="1" ht="32.25" customHeight="1">
      <c r="A13" s="343">
        <v>3</v>
      </c>
      <c r="B13" s="327" t="s">
        <v>0</v>
      </c>
      <c r="C13" s="478">
        <v>500</v>
      </c>
      <c r="D13" s="479">
        <f>E13+F13+G13+H13+I13+J13+K13+L13+M13+N13+Q13+R13+S13</f>
        <v>2041.856</v>
      </c>
      <c r="E13" s="479"/>
      <c r="F13" s="479"/>
      <c r="G13" s="479"/>
      <c r="H13" s="479"/>
      <c r="I13" s="479"/>
      <c r="J13" s="479"/>
      <c r="K13" s="479"/>
      <c r="L13" s="479"/>
      <c r="M13" s="479"/>
      <c r="N13" s="479">
        <v>2041.856</v>
      </c>
      <c r="O13" s="479"/>
      <c r="P13" s="479"/>
      <c r="Q13" s="479"/>
      <c r="R13" s="479"/>
      <c r="S13" s="479"/>
      <c r="T13" s="344">
        <f t="shared" si="1"/>
        <v>4.083712</v>
      </c>
    </row>
    <row r="14" spans="1:21" s="345" customFormat="1" ht="39" customHeight="1">
      <c r="A14" s="343">
        <v>4</v>
      </c>
      <c r="B14" s="346" t="s">
        <v>462</v>
      </c>
      <c r="C14" s="478">
        <f>11056+47227</f>
        <v>58283</v>
      </c>
      <c r="D14" s="479">
        <f>E14+F14+G14+H14+I14+J14+K14+L14+M14+N14+Q14+R14+S14</f>
        <v>132381.501</v>
      </c>
      <c r="E14" s="479">
        <v>61063.694</v>
      </c>
      <c r="F14" s="479"/>
      <c r="G14" s="479"/>
      <c r="H14" s="479">
        <v>200</v>
      </c>
      <c r="I14" s="479">
        <v>3211.735</v>
      </c>
      <c r="J14" s="479">
        <v>13070.818</v>
      </c>
      <c r="K14" s="479"/>
      <c r="L14" s="479"/>
      <c r="M14" s="479"/>
      <c r="N14" s="479">
        <v>54835.25399999999</v>
      </c>
      <c r="O14" s="479">
        <v>45272.7</v>
      </c>
      <c r="P14" s="479">
        <v>2269.392</v>
      </c>
      <c r="Q14" s="479"/>
      <c r="R14" s="479"/>
      <c r="S14" s="479"/>
      <c r="T14" s="344">
        <f t="shared" si="1"/>
        <v>2.271357016625774</v>
      </c>
      <c r="U14" s="514"/>
    </row>
    <row r="15" spans="1:21" s="336" customFormat="1" ht="25.5" customHeight="1">
      <c r="A15" s="343">
        <v>5</v>
      </c>
      <c r="B15" s="346" t="s">
        <v>430</v>
      </c>
      <c r="C15" s="478">
        <v>500</v>
      </c>
      <c r="D15" s="479">
        <f>E15+F15+G15+H15+I15+J15+K15+L15+M15+N15+Q15+R15+S15</f>
        <v>0</v>
      </c>
      <c r="E15" s="479"/>
      <c r="F15" s="479"/>
      <c r="G15" s="479"/>
      <c r="H15" s="479"/>
      <c r="I15" s="479"/>
      <c r="J15" s="479"/>
      <c r="K15" s="479"/>
      <c r="L15" s="479"/>
      <c r="M15" s="479"/>
      <c r="N15" s="479"/>
      <c r="O15" s="479"/>
      <c r="P15" s="479"/>
      <c r="Q15" s="479"/>
      <c r="R15" s="479"/>
      <c r="S15" s="479"/>
      <c r="T15" s="344">
        <f>D15/C15</f>
        <v>0</v>
      </c>
      <c r="U15" s="513"/>
    </row>
    <row r="16" spans="1:20" s="347" customFormat="1" ht="21.75" customHeight="1">
      <c r="A16" s="106" t="s">
        <v>40</v>
      </c>
      <c r="B16" s="550" t="s">
        <v>496</v>
      </c>
      <c r="C16" s="625">
        <f>SUM(C17:C34)</f>
        <v>0</v>
      </c>
      <c r="D16" s="625">
        <f aca="true" t="shared" si="3" ref="D16:S16">SUM(D17:D34)</f>
        <v>12229.771</v>
      </c>
      <c r="E16" s="625">
        <f t="shared" si="3"/>
        <v>0</v>
      </c>
      <c r="F16" s="625">
        <f t="shared" si="3"/>
        <v>0</v>
      </c>
      <c r="G16" s="625">
        <f t="shared" si="3"/>
        <v>0</v>
      </c>
      <c r="H16" s="625">
        <f t="shared" si="3"/>
        <v>0</v>
      </c>
      <c r="I16" s="625">
        <f t="shared" si="3"/>
        <v>0</v>
      </c>
      <c r="J16" s="625">
        <f t="shared" si="3"/>
        <v>434.32000000000005</v>
      </c>
      <c r="K16" s="625">
        <f t="shared" si="3"/>
        <v>0</v>
      </c>
      <c r="L16" s="625">
        <f t="shared" si="3"/>
        <v>0</v>
      </c>
      <c r="M16" s="625">
        <f t="shared" si="3"/>
        <v>0</v>
      </c>
      <c r="N16" s="625">
        <f t="shared" si="3"/>
        <v>9175.222</v>
      </c>
      <c r="O16" s="625">
        <f t="shared" si="3"/>
        <v>9175.222</v>
      </c>
      <c r="P16" s="625">
        <f t="shared" si="3"/>
        <v>0</v>
      </c>
      <c r="Q16" s="625">
        <f t="shared" si="3"/>
        <v>0</v>
      </c>
      <c r="R16" s="625">
        <f t="shared" si="3"/>
        <v>0</v>
      </c>
      <c r="S16" s="625">
        <f t="shared" si="3"/>
        <v>2620.2290000000003</v>
      </c>
      <c r="T16" s="626"/>
    </row>
    <row r="17" spans="1:20" s="631" customFormat="1" ht="21.75" customHeight="1">
      <c r="A17" s="627">
        <v>1</v>
      </c>
      <c r="B17" s="628" t="s">
        <v>270</v>
      </c>
      <c r="C17" s="629"/>
      <c r="D17" s="629">
        <f aca="true" t="shared" si="4" ref="D17:D34">SUM(E17:N17)+Q17+R17+S17</f>
        <v>0</v>
      </c>
      <c r="E17" s="629"/>
      <c r="F17" s="629"/>
      <c r="G17" s="629"/>
      <c r="H17" s="629"/>
      <c r="I17" s="629"/>
      <c r="J17" s="629"/>
      <c r="K17" s="629"/>
      <c r="L17" s="629"/>
      <c r="M17" s="629"/>
      <c r="N17" s="629">
        <f>O17+P17</f>
        <v>0</v>
      </c>
      <c r="O17" s="629"/>
      <c r="P17" s="629"/>
      <c r="Q17" s="629"/>
      <c r="R17" s="629"/>
      <c r="S17" s="629"/>
      <c r="T17" s="630"/>
    </row>
    <row r="18" spans="1:20" s="631" customFormat="1" ht="21.75" customHeight="1">
      <c r="A18" s="627">
        <v>2</v>
      </c>
      <c r="B18" s="628" t="s">
        <v>271</v>
      </c>
      <c r="C18" s="629"/>
      <c r="D18" s="629">
        <f t="shared" si="4"/>
        <v>249.981</v>
      </c>
      <c r="E18" s="629"/>
      <c r="F18" s="629"/>
      <c r="G18" s="629"/>
      <c r="H18" s="629"/>
      <c r="I18" s="629"/>
      <c r="J18" s="629"/>
      <c r="K18" s="629"/>
      <c r="L18" s="629"/>
      <c r="M18" s="629"/>
      <c r="N18" s="629">
        <f aca="true" t="shared" si="5" ref="N18:N34">O18+P18</f>
        <v>249.981</v>
      </c>
      <c r="O18" s="629">
        <v>249.981</v>
      </c>
      <c r="P18" s="629"/>
      <c r="Q18" s="629"/>
      <c r="R18" s="629"/>
      <c r="S18" s="629"/>
      <c r="T18" s="630"/>
    </row>
    <row r="19" spans="1:20" s="631" customFormat="1" ht="21.75" customHeight="1">
      <c r="A19" s="627">
        <v>3</v>
      </c>
      <c r="B19" s="628" t="s">
        <v>9</v>
      </c>
      <c r="C19" s="629"/>
      <c r="D19" s="629">
        <f t="shared" si="4"/>
        <v>808.8</v>
      </c>
      <c r="E19" s="629"/>
      <c r="F19" s="629"/>
      <c r="G19" s="629"/>
      <c r="H19" s="629"/>
      <c r="I19" s="629"/>
      <c r="J19" s="629"/>
      <c r="K19" s="629"/>
      <c r="L19" s="629"/>
      <c r="M19" s="629"/>
      <c r="N19" s="629">
        <f t="shared" si="5"/>
        <v>808.8</v>
      </c>
      <c r="O19" s="629">
        <v>808.8</v>
      </c>
      <c r="P19" s="629"/>
      <c r="Q19" s="629"/>
      <c r="R19" s="629"/>
      <c r="S19" s="629"/>
      <c r="T19" s="630"/>
    </row>
    <row r="20" spans="1:20" s="631" customFormat="1" ht="21.75" customHeight="1">
      <c r="A20" s="627">
        <v>4</v>
      </c>
      <c r="B20" s="628" t="s">
        <v>272</v>
      </c>
      <c r="C20" s="629"/>
      <c r="D20" s="629">
        <f t="shared" si="4"/>
        <v>0</v>
      </c>
      <c r="E20" s="629"/>
      <c r="F20" s="629"/>
      <c r="G20" s="629"/>
      <c r="H20" s="629"/>
      <c r="I20" s="629"/>
      <c r="J20" s="629"/>
      <c r="K20" s="629"/>
      <c r="L20" s="629"/>
      <c r="M20" s="629"/>
      <c r="N20" s="629">
        <f t="shared" si="5"/>
        <v>0</v>
      </c>
      <c r="O20" s="629"/>
      <c r="P20" s="629"/>
      <c r="Q20" s="629"/>
      <c r="R20" s="629"/>
      <c r="S20" s="629"/>
      <c r="T20" s="630"/>
    </row>
    <row r="21" spans="1:20" s="631" customFormat="1" ht="21.75" customHeight="1">
      <c r="A21" s="627">
        <v>5</v>
      </c>
      <c r="B21" s="628" t="s">
        <v>273</v>
      </c>
      <c r="C21" s="629"/>
      <c r="D21" s="629">
        <f t="shared" si="4"/>
        <v>541.663</v>
      </c>
      <c r="E21" s="629"/>
      <c r="F21" s="629"/>
      <c r="G21" s="629"/>
      <c r="H21" s="629"/>
      <c r="I21" s="629"/>
      <c r="J21" s="629">
        <v>143.729</v>
      </c>
      <c r="K21" s="629"/>
      <c r="L21" s="629"/>
      <c r="M21" s="629"/>
      <c r="N21" s="629">
        <f t="shared" si="5"/>
        <v>0</v>
      </c>
      <c r="O21" s="629"/>
      <c r="P21" s="629"/>
      <c r="Q21" s="629"/>
      <c r="R21" s="629"/>
      <c r="S21" s="629">
        <v>397.934</v>
      </c>
      <c r="T21" s="630"/>
    </row>
    <row r="22" spans="1:20" s="631" customFormat="1" ht="21.75" customHeight="1">
      <c r="A22" s="627">
        <v>6</v>
      </c>
      <c r="B22" s="628" t="s">
        <v>274</v>
      </c>
      <c r="C22" s="629"/>
      <c r="D22" s="629">
        <f t="shared" si="4"/>
        <v>576.575</v>
      </c>
      <c r="E22" s="629"/>
      <c r="F22" s="629"/>
      <c r="G22" s="629"/>
      <c r="H22" s="629"/>
      <c r="I22" s="629"/>
      <c r="J22" s="629"/>
      <c r="K22" s="629"/>
      <c r="L22" s="629"/>
      <c r="M22" s="629"/>
      <c r="N22" s="629">
        <f t="shared" si="5"/>
        <v>576.575</v>
      </c>
      <c r="O22" s="629">
        <v>576.575</v>
      </c>
      <c r="P22" s="629"/>
      <c r="Q22" s="629"/>
      <c r="R22" s="629"/>
      <c r="S22" s="629"/>
      <c r="T22" s="630"/>
    </row>
    <row r="23" spans="1:20" s="631" customFormat="1" ht="21.75" customHeight="1">
      <c r="A23" s="627">
        <v>7</v>
      </c>
      <c r="B23" s="628" t="s">
        <v>275</v>
      </c>
      <c r="C23" s="629"/>
      <c r="D23" s="629">
        <f t="shared" si="4"/>
        <v>1041.707</v>
      </c>
      <c r="E23" s="629"/>
      <c r="F23" s="629"/>
      <c r="G23" s="629"/>
      <c r="H23" s="629"/>
      <c r="I23" s="629"/>
      <c r="J23" s="629"/>
      <c r="K23" s="629"/>
      <c r="L23" s="629"/>
      <c r="M23" s="629"/>
      <c r="N23" s="629">
        <f t="shared" si="5"/>
        <v>1041.707</v>
      </c>
      <c r="O23" s="629">
        <v>1041.707</v>
      </c>
      <c r="P23" s="629"/>
      <c r="Q23" s="629"/>
      <c r="R23" s="629"/>
      <c r="S23" s="629"/>
      <c r="T23" s="630"/>
    </row>
    <row r="24" spans="1:20" s="631" customFormat="1" ht="21.75" customHeight="1">
      <c r="A24" s="627">
        <v>8</v>
      </c>
      <c r="B24" s="628" t="s">
        <v>276</v>
      </c>
      <c r="C24" s="629"/>
      <c r="D24" s="629">
        <f t="shared" si="4"/>
        <v>572.336</v>
      </c>
      <c r="E24" s="629"/>
      <c r="F24" s="629"/>
      <c r="G24" s="629"/>
      <c r="H24" s="629"/>
      <c r="I24" s="629"/>
      <c r="J24" s="629"/>
      <c r="K24" s="629"/>
      <c r="L24" s="629"/>
      <c r="M24" s="629"/>
      <c r="N24" s="629">
        <f t="shared" si="5"/>
        <v>572.336</v>
      </c>
      <c r="O24" s="629">
        <v>572.336</v>
      </c>
      <c r="P24" s="629"/>
      <c r="Q24" s="629"/>
      <c r="R24" s="629"/>
      <c r="S24" s="629"/>
      <c r="T24" s="630"/>
    </row>
    <row r="25" spans="1:20" s="631" customFormat="1" ht="21.75" customHeight="1">
      <c r="A25" s="627">
        <v>9</v>
      </c>
      <c r="B25" s="628" t="s">
        <v>277</v>
      </c>
      <c r="C25" s="629"/>
      <c r="D25" s="629">
        <f t="shared" si="4"/>
        <v>1629</v>
      </c>
      <c r="E25" s="629"/>
      <c r="F25" s="629"/>
      <c r="G25" s="629"/>
      <c r="H25" s="629"/>
      <c r="I25" s="629"/>
      <c r="J25" s="629"/>
      <c r="K25" s="629"/>
      <c r="L25" s="629"/>
      <c r="M25" s="629"/>
      <c r="N25" s="629">
        <f t="shared" si="5"/>
        <v>1629</v>
      </c>
      <c r="O25" s="629">
        <v>1629</v>
      </c>
      <c r="P25" s="629"/>
      <c r="Q25" s="629"/>
      <c r="R25" s="629"/>
      <c r="S25" s="629"/>
      <c r="T25" s="630"/>
    </row>
    <row r="26" spans="1:20" s="631" customFormat="1" ht="21.75" customHeight="1">
      <c r="A26" s="627">
        <v>10</v>
      </c>
      <c r="B26" s="628" t="s">
        <v>278</v>
      </c>
      <c r="C26" s="629"/>
      <c r="D26" s="629">
        <f t="shared" si="4"/>
        <v>281.873</v>
      </c>
      <c r="E26" s="629"/>
      <c r="F26" s="629"/>
      <c r="G26" s="629"/>
      <c r="H26" s="629"/>
      <c r="I26" s="629"/>
      <c r="J26" s="629"/>
      <c r="K26" s="629"/>
      <c r="L26" s="629"/>
      <c r="M26" s="629"/>
      <c r="N26" s="629">
        <f t="shared" si="5"/>
        <v>281.873</v>
      </c>
      <c r="O26" s="629">
        <v>281.873</v>
      </c>
      <c r="P26" s="629"/>
      <c r="Q26" s="629"/>
      <c r="R26" s="629"/>
      <c r="S26" s="629"/>
      <c r="T26" s="630"/>
    </row>
    <row r="27" spans="1:20" s="631" customFormat="1" ht="21.75" customHeight="1">
      <c r="A27" s="627">
        <v>11</v>
      </c>
      <c r="B27" s="628" t="s">
        <v>279</v>
      </c>
      <c r="C27" s="629"/>
      <c r="D27" s="629">
        <f t="shared" si="4"/>
        <v>417.428</v>
      </c>
      <c r="E27" s="629"/>
      <c r="F27" s="629"/>
      <c r="G27" s="629"/>
      <c r="H27" s="629"/>
      <c r="I27" s="629"/>
      <c r="J27" s="629"/>
      <c r="K27" s="629"/>
      <c r="L27" s="629"/>
      <c r="M27" s="629"/>
      <c r="N27" s="629">
        <f t="shared" si="5"/>
        <v>0</v>
      </c>
      <c r="O27" s="629"/>
      <c r="P27" s="629"/>
      <c r="Q27" s="629"/>
      <c r="R27" s="629"/>
      <c r="S27" s="629">
        <v>417.428</v>
      </c>
      <c r="T27" s="630"/>
    </row>
    <row r="28" spans="1:20" s="631" customFormat="1" ht="21.75" customHeight="1">
      <c r="A28" s="627">
        <v>12</v>
      </c>
      <c r="B28" s="628" t="s">
        <v>280</v>
      </c>
      <c r="C28" s="629"/>
      <c r="D28" s="629">
        <f t="shared" si="4"/>
        <v>0</v>
      </c>
      <c r="E28" s="629"/>
      <c r="F28" s="629"/>
      <c r="G28" s="629"/>
      <c r="H28" s="629"/>
      <c r="I28" s="629"/>
      <c r="J28" s="629"/>
      <c r="K28" s="629"/>
      <c r="L28" s="629"/>
      <c r="M28" s="629"/>
      <c r="N28" s="629">
        <f t="shared" si="5"/>
        <v>0</v>
      </c>
      <c r="O28" s="629"/>
      <c r="P28" s="629"/>
      <c r="Q28" s="629"/>
      <c r="R28" s="629"/>
      <c r="S28" s="629"/>
      <c r="T28" s="630"/>
    </row>
    <row r="29" spans="1:20" s="631" customFormat="1" ht="21.75" customHeight="1">
      <c r="A29" s="627">
        <v>13</v>
      </c>
      <c r="B29" s="628" t="s">
        <v>281</v>
      </c>
      <c r="C29" s="629"/>
      <c r="D29" s="629">
        <f t="shared" si="4"/>
        <v>140.6</v>
      </c>
      <c r="E29" s="629"/>
      <c r="F29" s="629"/>
      <c r="G29" s="629"/>
      <c r="H29" s="629"/>
      <c r="I29" s="629"/>
      <c r="J29" s="629">
        <v>140.6</v>
      </c>
      <c r="K29" s="629"/>
      <c r="L29" s="629"/>
      <c r="M29" s="629"/>
      <c r="N29" s="629">
        <f t="shared" si="5"/>
        <v>0</v>
      </c>
      <c r="O29" s="629">
        <v>0</v>
      </c>
      <c r="P29" s="629"/>
      <c r="Q29" s="629"/>
      <c r="R29" s="629"/>
      <c r="S29" s="629"/>
      <c r="T29" s="630"/>
    </row>
    <row r="30" spans="1:20" s="631" customFormat="1" ht="21.75" customHeight="1">
      <c r="A30" s="627">
        <v>14</v>
      </c>
      <c r="B30" s="628" t="s">
        <v>282</v>
      </c>
      <c r="C30" s="629"/>
      <c r="D30" s="629">
        <f>SUM(E30:N30)+Q30+R30+S30</f>
        <v>550</v>
      </c>
      <c r="E30" s="629"/>
      <c r="F30" s="629"/>
      <c r="G30" s="629"/>
      <c r="H30" s="629"/>
      <c r="I30" s="629"/>
      <c r="J30" s="629"/>
      <c r="K30" s="629"/>
      <c r="L30" s="629"/>
      <c r="M30" s="629"/>
      <c r="N30" s="629">
        <f t="shared" si="5"/>
        <v>550</v>
      </c>
      <c r="O30" s="629">
        <v>550</v>
      </c>
      <c r="P30" s="629"/>
      <c r="Q30" s="629"/>
      <c r="R30" s="629"/>
      <c r="S30" s="629"/>
      <c r="T30" s="630"/>
    </row>
    <row r="31" spans="1:20" s="631" customFormat="1" ht="21.75" customHeight="1">
      <c r="A31" s="627">
        <v>15</v>
      </c>
      <c r="B31" s="628" t="s">
        <v>283</v>
      </c>
      <c r="C31" s="629"/>
      <c r="D31" s="629">
        <f t="shared" si="4"/>
        <v>1440.588</v>
      </c>
      <c r="E31" s="629"/>
      <c r="F31" s="629"/>
      <c r="G31" s="629"/>
      <c r="H31" s="629"/>
      <c r="I31" s="629"/>
      <c r="J31" s="629"/>
      <c r="K31" s="629"/>
      <c r="L31" s="629"/>
      <c r="M31" s="629"/>
      <c r="N31" s="629">
        <f t="shared" si="5"/>
        <v>1018.88</v>
      </c>
      <c r="O31" s="629">
        <v>1018.88</v>
      </c>
      <c r="P31" s="629"/>
      <c r="Q31" s="629"/>
      <c r="R31" s="629"/>
      <c r="S31" s="629">
        <v>421.708</v>
      </c>
      <c r="T31" s="630"/>
    </row>
    <row r="32" spans="1:20" s="631" customFormat="1" ht="21.75" customHeight="1">
      <c r="A32" s="627">
        <v>16</v>
      </c>
      <c r="B32" s="628" t="s">
        <v>284</v>
      </c>
      <c r="C32" s="629"/>
      <c r="D32" s="629">
        <f t="shared" si="4"/>
        <v>1686.4470000000001</v>
      </c>
      <c r="E32" s="629"/>
      <c r="F32" s="629"/>
      <c r="G32" s="629"/>
      <c r="H32" s="629"/>
      <c r="I32" s="629"/>
      <c r="J32" s="629"/>
      <c r="K32" s="629"/>
      <c r="L32" s="629"/>
      <c r="M32" s="629"/>
      <c r="N32" s="629">
        <f t="shared" si="5"/>
        <v>991</v>
      </c>
      <c r="O32" s="629">
        <v>991</v>
      </c>
      <c r="P32" s="629"/>
      <c r="Q32" s="629"/>
      <c r="R32" s="629"/>
      <c r="S32" s="629">
        <v>695.447</v>
      </c>
      <c r="T32" s="630"/>
    </row>
    <row r="33" spans="1:20" s="631" customFormat="1" ht="21.75" customHeight="1">
      <c r="A33" s="627">
        <v>17</v>
      </c>
      <c r="B33" s="628" t="s">
        <v>285</v>
      </c>
      <c r="C33" s="629"/>
      <c r="D33" s="629">
        <f>SUM(E33:N33)+Q33+R33+S33</f>
        <v>2292.773</v>
      </c>
      <c r="E33" s="629"/>
      <c r="F33" s="629"/>
      <c r="G33" s="629"/>
      <c r="H33" s="629"/>
      <c r="I33" s="629"/>
      <c r="J33" s="629">
        <v>149.991</v>
      </c>
      <c r="K33" s="629"/>
      <c r="L33" s="629"/>
      <c r="M33" s="629"/>
      <c r="N33" s="629">
        <f t="shared" si="5"/>
        <v>1455.07</v>
      </c>
      <c r="O33" s="629">
        <v>1455.07</v>
      </c>
      <c r="P33" s="629"/>
      <c r="Q33" s="629"/>
      <c r="R33" s="629"/>
      <c r="S33" s="629">
        <v>687.712</v>
      </c>
      <c r="T33" s="630"/>
    </row>
    <row r="34" spans="1:20" s="632" customFormat="1" ht="21" customHeight="1">
      <c r="A34" s="627">
        <v>18</v>
      </c>
      <c r="B34" s="628" t="s">
        <v>286</v>
      </c>
      <c r="C34" s="629"/>
      <c r="D34" s="629">
        <f t="shared" si="4"/>
        <v>0</v>
      </c>
      <c r="E34" s="629"/>
      <c r="F34" s="629"/>
      <c r="G34" s="629"/>
      <c r="H34" s="629"/>
      <c r="I34" s="629"/>
      <c r="J34" s="629"/>
      <c r="K34" s="629"/>
      <c r="L34" s="629"/>
      <c r="M34" s="629"/>
      <c r="N34" s="629">
        <f t="shared" si="5"/>
        <v>0</v>
      </c>
      <c r="O34" s="629">
        <v>0</v>
      </c>
      <c r="P34" s="629"/>
      <c r="Q34" s="629"/>
      <c r="R34" s="629"/>
      <c r="S34" s="629"/>
      <c r="T34" s="630"/>
    </row>
    <row r="35" spans="1:20" s="238" customFormat="1" ht="6" customHeight="1">
      <c r="A35" s="348"/>
      <c r="B35" s="348"/>
      <c r="C35" s="633"/>
      <c r="D35" s="633"/>
      <c r="E35" s="633"/>
      <c r="F35" s="633"/>
      <c r="G35" s="633"/>
      <c r="H35" s="633"/>
      <c r="I35" s="633"/>
      <c r="J35" s="633"/>
      <c r="K35" s="633"/>
      <c r="L35" s="633"/>
      <c r="M35" s="633"/>
      <c r="N35" s="633"/>
      <c r="O35" s="633"/>
      <c r="P35" s="633"/>
      <c r="Q35" s="633"/>
      <c r="R35" s="633"/>
      <c r="S35" s="633"/>
      <c r="T35" s="634"/>
    </row>
    <row r="36" spans="4:20" ht="15">
      <c r="D36" s="312"/>
      <c r="E36" s="312"/>
      <c r="F36" s="312"/>
      <c r="G36" s="312"/>
      <c r="H36" s="312"/>
      <c r="I36" s="312"/>
      <c r="J36" s="312"/>
      <c r="K36" s="312"/>
      <c r="L36" s="312"/>
      <c r="M36" s="312"/>
      <c r="N36" s="312"/>
      <c r="O36" s="312"/>
      <c r="P36" s="312"/>
      <c r="Q36" s="312"/>
      <c r="R36" s="312"/>
      <c r="S36" s="312"/>
      <c r="T36" s="312"/>
    </row>
    <row r="37" spans="4:20" ht="15">
      <c r="D37" s="312"/>
      <c r="E37" s="312"/>
      <c r="F37" s="312"/>
      <c r="G37" s="312"/>
      <c r="H37" s="312"/>
      <c r="I37" s="312"/>
      <c r="J37" s="312"/>
      <c r="K37" s="312"/>
      <c r="L37" s="312"/>
      <c r="M37" s="312"/>
      <c r="N37" s="312"/>
      <c r="O37" s="312"/>
      <c r="P37" s="312"/>
      <c r="Q37" s="312"/>
      <c r="R37" s="312"/>
      <c r="S37" s="312"/>
      <c r="T37" s="312"/>
    </row>
    <row r="38" spans="4:20" ht="15">
      <c r="D38" s="312"/>
      <c r="E38" s="312"/>
      <c r="F38" s="312"/>
      <c r="G38" s="312"/>
      <c r="H38" s="312"/>
      <c r="I38" s="312"/>
      <c r="J38" s="312"/>
      <c r="K38" s="312"/>
      <c r="L38" s="312"/>
      <c r="M38" s="312"/>
      <c r="N38" s="312"/>
      <c r="O38" s="312"/>
      <c r="P38" s="312"/>
      <c r="Q38" s="312"/>
      <c r="R38" s="312"/>
      <c r="S38" s="312"/>
      <c r="T38" s="312"/>
    </row>
    <row r="39" spans="4:20" ht="15">
      <c r="D39" s="312"/>
      <c r="E39" s="312"/>
      <c r="F39" s="312"/>
      <c r="G39" s="312"/>
      <c r="H39" s="312"/>
      <c r="I39" s="312"/>
      <c r="J39" s="312"/>
      <c r="K39" s="312"/>
      <c r="L39" s="312"/>
      <c r="M39" s="312"/>
      <c r="N39" s="312"/>
      <c r="O39" s="312"/>
      <c r="P39" s="312"/>
      <c r="Q39" s="312"/>
      <c r="R39" s="312"/>
      <c r="S39" s="312"/>
      <c r="T39" s="312"/>
    </row>
    <row r="40" spans="4:20" ht="15">
      <c r="D40" s="312"/>
      <c r="E40" s="312"/>
      <c r="F40" s="312"/>
      <c r="G40" s="312"/>
      <c r="H40" s="312"/>
      <c r="I40" s="312"/>
      <c r="J40" s="312"/>
      <c r="K40" s="312"/>
      <c r="L40" s="312"/>
      <c r="M40" s="312"/>
      <c r="N40" s="312"/>
      <c r="O40" s="312"/>
      <c r="P40" s="312"/>
      <c r="Q40" s="312"/>
      <c r="R40" s="312"/>
      <c r="S40" s="312"/>
      <c r="T40" s="312"/>
    </row>
    <row r="41" spans="4:20" ht="15">
      <c r="D41" s="312"/>
      <c r="E41" s="312"/>
      <c r="F41" s="312"/>
      <c r="G41" s="312"/>
      <c r="H41" s="312"/>
      <c r="I41" s="312"/>
      <c r="J41" s="312"/>
      <c r="K41" s="312"/>
      <c r="L41" s="312"/>
      <c r="M41" s="312"/>
      <c r="N41" s="312"/>
      <c r="O41" s="312"/>
      <c r="P41" s="312"/>
      <c r="Q41" s="312"/>
      <c r="R41" s="312"/>
      <c r="S41" s="312"/>
      <c r="T41" s="312"/>
    </row>
    <row r="42" spans="4:20" ht="15">
      <c r="D42" s="312"/>
      <c r="E42" s="312"/>
      <c r="F42" s="312"/>
      <c r="G42" s="312"/>
      <c r="H42" s="312"/>
      <c r="I42" s="312"/>
      <c r="J42" s="312"/>
      <c r="K42" s="312"/>
      <c r="L42" s="312"/>
      <c r="M42" s="312"/>
      <c r="N42" s="312"/>
      <c r="O42" s="312"/>
      <c r="P42" s="312"/>
      <c r="Q42" s="312"/>
      <c r="R42" s="312"/>
      <c r="S42" s="312"/>
      <c r="T42" s="312"/>
    </row>
    <row r="43" spans="4:20" ht="15">
      <c r="D43" s="312"/>
      <c r="E43" s="312"/>
      <c r="F43" s="312"/>
      <c r="G43" s="312"/>
      <c r="H43" s="312"/>
      <c r="I43" s="312"/>
      <c r="J43" s="312"/>
      <c r="K43" s="312"/>
      <c r="L43" s="312"/>
      <c r="M43" s="312"/>
      <c r="N43" s="312"/>
      <c r="O43" s="312"/>
      <c r="P43" s="312"/>
      <c r="Q43" s="312"/>
      <c r="R43" s="312"/>
      <c r="S43" s="312"/>
      <c r="T43" s="312"/>
    </row>
    <row r="44" spans="4:20" ht="15">
      <c r="D44" s="312"/>
      <c r="E44" s="312"/>
      <c r="F44" s="312"/>
      <c r="G44" s="312"/>
      <c r="H44" s="312"/>
      <c r="I44" s="312"/>
      <c r="J44" s="312"/>
      <c r="K44" s="312"/>
      <c r="L44" s="312"/>
      <c r="M44" s="312"/>
      <c r="N44" s="312"/>
      <c r="O44" s="312"/>
      <c r="P44" s="312"/>
      <c r="Q44" s="312"/>
      <c r="R44" s="312"/>
      <c r="S44" s="312"/>
      <c r="T44" s="312"/>
    </row>
    <row r="45" spans="4:20" ht="15">
      <c r="D45" s="312"/>
      <c r="E45" s="312"/>
      <c r="F45" s="312"/>
      <c r="G45" s="312"/>
      <c r="H45" s="312"/>
      <c r="I45" s="312"/>
      <c r="J45" s="312"/>
      <c r="K45" s="312"/>
      <c r="L45" s="312"/>
      <c r="M45" s="312"/>
      <c r="N45" s="312"/>
      <c r="O45" s="312"/>
      <c r="P45" s="312"/>
      <c r="Q45" s="312"/>
      <c r="R45" s="312"/>
      <c r="S45" s="312"/>
      <c r="T45" s="312"/>
    </row>
  </sheetData>
  <sheetProtection/>
  <mergeCells count="23">
    <mergeCell ref="S6:S7"/>
    <mergeCell ref="J6:J7"/>
    <mergeCell ref="G6:G7"/>
    <mergeCell ref="D6:D7"/>
    <mergeCell ref="K6:K7"/>
    <mergeCell ref="L6:L7"/>
    <mergeCell ref="A4:T4"/>
    <mergeCell ref="M6:M7"/>
    <mergeCell ref="N6:N7"/>
    <mergeCell ref="O6:P6"/>
    <mergeCell ref="T6:T7"/>
    <mergeCell ref="E6:E7"/>
    <mergeCell ref="R6:R7"/>
    <mergeCell ref="P1:T1"/>
    <mergeCell ref="P2:T2"/>
    <mergeCell ref="A6:A7"/>
    <mergeCell ref="B6:B7"/>
    <mergeCell ref="F6:F7"/>
    <mergeCell ref="Q6:Q7"/>
    <mergeCell ref="H6:H7"/>
    <mergeCell ref="C6:C7"/>
    <mergeCell ref="I6:I7"/>
    <mergeCell ref="A3:T3"/>
  </mergeCells>
  <printOptions horizontalCentered="1"/>
  <pageMargins left="0" right="0" top="1" bottom="0.5" header="0" footer="0"/>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Y142"/>
  <sheetViews>
    <sheetView zoomScale="85" zoomScaleNormal="8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4" sqref="A4:T4"/>
    </sheetView>
  </sheetViews>
  <sheetFormatPr defaultColWidth="9.140625" defaultRowHeight="12.75"/>
  <cols>
    <col min="1" max="1" width="4.57421875" style="38" customWidth="1"/>
    <col min="2" max="2" width="26.140625" style="38" customWidth="1"/>
    <col min="3" max="3" width="11.8515625" style="38" customWidth="1"/>
    <col min="4" max="4" width="13.8515625" style="38" customWidth="1"/>
    <col min="5" max="5" width="12.00390625" style="38" customWidth="1"/>
    <col min="6" max="6" width="7.57421875" style="38" customWidth="1"/>
    <col min="7" max="7" width="11.57421875" style="38" customWidth="1"/>
    <col min="8" max="8" width="11.421875" style="38" customWidth="1"/>
    <col min="9" max="9" width="10.8515625" style="38" customWidth="1"/>
    <col min="10" max="10" width="10.57421875" style="38" customWidth="1"/>
    <col min="11" max="11" width="10.421875" style="38" customWidth="1"/>
    <col min="12" max="12" width="9.8515625" style="38" customWidth="1"/>
    <col min="13" max="13" width="10.28125" style="38" customWidth="1"/>
    <col min="14" max="14" width="10.8515625" style="38" customWidth="1"/>
    <col min="15" max="15" width="11.00390625" style="38" customWidth="1"/>
    <col min="16" max="16" width="10.8515625" style="38" customWidth="1"/>
    <col min="17" max="17" width="11.8515625" style="38" customWidth="1"/>
    <col min="18" max="18" width="11.00390625" style="38" customWidth="1"/>
    <col min="19" max="19" width="10.140625" style="38" customWidth="1"/>
    <col min="20" max="20" width="8.8515625" style="38" customWidth="1"/>
    <col min="21" max="21" width="15.28125" style="515" customWidth="1"/>
    <col min="22" max="22" width="15.28125" style="38" customWidth="1"/>
    <col min="23" max="23" width="19.28125" style="38" customWidth="1"/>
    <col min="24" max="24" width="15.28125" style="38" customWidth="1"/>
    <col min="25" max="25" width="10.7109375" style="38" customWidth="1"/>
    <col min="26" max="16384" width="9.140625" style="38" customWidth="1"/>
  </cols>
  <sheetData>
    <row r="1" spans="4:20" ht="18">
      <c r="D1" s="51"/>
      <c r="E1" s="52"/>
      <c r="Q1" s="832" t="s">
        <v>167</v>
      </c>
      <c r="R1" s="832"/>
      <c r="S1" s="832"/>
      <c r="T1" s="832"/>
    </row>
    <row r="2" spans="4:20" ht="18">
      <c r="D2" s="51"/>
      <c r="E2" s="52"/>
      <c r="Q2" s="841" t="s">
        <v>625</v>
      </c>
      <c r="R2" s="841"/>
      <c r="S2" s="841"/>
      <c r="T2" s="841"/>
    </row>
    <row r="3" spans="1:20" ht="18">
      <c r="A3" s="832" t="s">
        <v>729</v>
      </c>
      <c r="B3" s="832"/>
      <c r="C3" s="832"/>
      <c r="D3" s="832"/>
      <c r="E3" s="832"/>
      <c r="F3" s="832"/>
      <c r="G3" s="832"/>
      <c r="H3" s="832"/>
      <c r="I3" s="832"/>
      <c r="J3" s="832"/>
      <c r="K3" s="832"/>
      <c r="L3" s="832"/>
      <c r="M3" s="832"/>
      <c r="N3" s="832"/>
      <c r="O3" s="832"/>
      <c r="P3" s="832"/>
      <c r="Q3" s="832"/>
      <c r="R3" s="832"/>
      <c r="S3" s="832"/>
      <c r="T3" s="832"/>
    </row>
    <row r="4" spans="1:20" ht="18">
      <c r="A4" s="844" t="str">
        <f>'bieu 48 '!A4:F4</f>
        <v>(Kèm theo Báo cáo số 627/BC-UBND ngày 10 tháng 7 năm 2024 của UBND huyện Bắc Sơn)</v>
      </c>
      <c r="B4" s="844"/>
      <c r="C4" s="844"/>
      <c r="D4" s="844"/>
      <c r="E4" s="844"/>
      <c r="F4" s="844"/>
      <c r="G4" s="844"/>
      <c r="H4" s="844"/>
      <c r="I4" s="844"/>
      <c r="J4" s="844"/>
      <c r="K4" s="844"/>
      <c r="L4" s="844"/>
      <c r="M4" s="844"/>
      <c r="N4" s="844"/>
      <c r="O4" s="844"/>
      <c r="P4" s="844"/>
      <c r="Q4" s="844"/>
      <c r="R4" s="844"/>
      <c r="S4" s="844"/>
      <c r="T4" s="844"/>
    </row>
    <row r="5" spans="1:21" s="55" customFormat="1" ht="18">
      <c r="A5" s="49"/>
      <c r="B5" s="51"/>
      <c r="C5" s="51"/>
      <c r="D5" s="50"/>
      <c r="E5" s="50"/>
      <c r="F5" s="51"/>
      <c r="G5" s="50"/>
      <c r="H5" s="51"/>
      <c r="I5" s="51"/>
      <c r="J5" s="51"/>
      <c r="K5" s="51"/>
      <c r="L5" s="51"/>
      <c r="M5" s="51"/>
      <c r="N5" s="51"/>
      <c r="O5" s="51"/>
      <c r="P5" s="51"/>
      <c r="Q5" s="51"/>
      <c r="R5" s="51"/>
      <c r="S5" s="38"/>
      <c r="T5" s="48" t="s">
        <v>22</v>
      </c>
      <c r="U5" s="516"/>
    </row>
    <row r="6" spans="1:21" s="55" customFormat="1" ht="11.25">
      <c r="A6" s="843" t="s">
        <v>23</v>
      </c>
      <c r="B6" s="843" t="s">
        <v>153</v>
      </c>
      <c r="C6" s="843" t="s">
        <v>25</v>
      </c>
      <c r="D6" s="843" t="s">
        <v>26</v>
      </c>
      <c r="E6" s="843" t="s">
        <v>110</v>
      </c>
      <c r="F6" s="843" t="s">
        <v>118</v>
      </c>
      <c r="G6" s="843" t="s">
        <v>128</v>
      </c>
      <c r="H6" s="843" t="s">
        <v>129</v>
      </c>
      <c r="I6" s="843" t="s">
        <v>130</v>
      </c>
      <c r="J6" s="843" t="s">
        <v>131</v>
      </c>
      <c r="K6" s="843" t="s">
        <v>132</v>
      </c>
      <c r="L6" s="843" t="s">
        <v>133</v>
      </c>
      <c r="M6" s="843" t="s">
        <v>134</v>
      </c>
      <c r="N6" s="843" t="s">
        <v>135</v>
      </c>
      <c r="O6" s="843" t="s">
        <v>163</v>
      </c>
      <c r="P6" s="843"/>
      <c r="Q6" s="843" t="s">
        <v>136</v>
      </c>
      <c r="R6" s="843" t="s">
        <v>137</v>
      </c>
      <c r="S6" s="843" t="s">
        <v>140</v>
      </c>
      <c r="T6" s="843" t="s">
        <v>76</v>
      </c>
      <c r="U6" s="516"/>
    </row>
    <row r="7" spans="1:21" s="55" customFormat="1" ht="45.75">
      <c r="A7" s="843"/>
      <c r="B7" s="843"/>
      <c r="C7" s="843"/>
      <c r="D7" s="843"/>
      <c r="E7" s="843"/>
      <c r="F7" s="843"/>
      <c r="G7" s="843"/>
      <c r="H7" s="843"/>
      <c r="I7" s="843"/>
      <c r="J7" s="843"/>
      <c r="K7" s="843"/>
      <c r="L7" s="843"/>
      <c r="M7" s="843"/>
      <c r="N7" s="843"/>
      <c r="O7" s="54" t="s">
        <v>164</v>
      </c>
      <c r="P7" s="54" t="s">
        <v>165</v>
      </c>
      <c r="Q7" s="843"/>
      <c r="R7" s="843"/>
      <c r="S7" s="843"/>
      <c r="T7" s="843"/>
      <c r="U7" s="516"/>
    </row>
    <row r="8" spans="1:21" s="154" customFormat="1" ht="18" customHeight="1">
      <c r="A8" s="54" t="s">
        <v>30</v>
      </c>
      <c r="B8" s="54" t="s">
        <v>31</v>
      </c>
      <c r="C8" s="54">
        <v>1</v>
      </c>
      <c r="D8" s="54">
        <v>2</v>
      </c>
      <c r="E8" s="54">
        <v>3</v>
      </c>
      <c r="F8" s="54">
        <v>4</v>
      </c>
      <c r="G8" s="54">
        <v>5</v>
      </c>
      <c r="H8" s="54">
        <v>6</v>
      </c>
      <c r="I8" s="54">
        <v>7</v>
      </c>
      <c r="J8" s="54">
        <v>8</v>
      </c>
      <c r="K8" s="54">
        <v>9</v>
      </c>
      <c r="L8" s="54">
        <v>10</v>
      </c>
      <c r="M8" s="54">
        <v>11</v>
      </c>
      <c r="N8" s="54">
        <v>12</v>
      </c>
      <c r="O8" s="54">
        <v>13</v>
      </c>
      <c r="P8" s="54">
        <v>14</v>
      </c>
      <c r="Q8" s="54">
        <v>15</v>
      </c>
      <c r="R8" s="54">
        <v>16</v>
      </c>
      <c r="S8" s="54">
        <v>17</v>
      </c>
      <c r="T8" s="54" t="s">
        <v>168</v>
      </c>
      <c r="U8" s="517"/>
    </row>
    <row r="9" spans="1:21" s="49" customFormat="1" ht="18" customHeight="1">
      <c r="A9" s="296"/>
      <c r="B9" s="296" t="s">
        <v>158</v>
      </c>
      <c r="C9" s="297">
        <f>C10+C108</f>
        <v>498332.19200000004</v>
      </c>
      <c r="D9" s="297">
        <f aca="true" t="shared" si="0" ref="D9:S9">D10+D108</f>
        <v>600512.744837</v>
      </c>
      <c r="E9" s="297">
        <f t="shared" si="0"/>
        <v>284802.00143100007</v>
      </c>
      <c r="F9" s="297">
        <f t="shared" si="0"/>
        <v>35.04</v>
      </c>
      <c r="G9" s="297">
        <f t="shared" si="0"/>
        <v>10174.888100000002</v>
      </c>
      <c r="H9" s="297">
        <f t="shared" si="0"/>
        <v>4961.5429</v>
      </c>
      <c r="I9" s="297">
        <f t="shared" si="0"/>
        <v>66909.53889999999</v>
      </c>
      <c r="J9" s="297">
        <f t="shared" si="0"/>
        <v>8523.451333</v>
      </c>
      <c r="K9" s="297">
        <f t="shared" si="0"/>
        <v>1079.1619</v>
      </c>
      <c r="L9" s="297">
        <f t="shared" si="0"/>
        <v>1759.4125</v>
      </c>
      <c r="M9" s="297">
        <f t="shared" si="0"/>
        <v>3097.774</v>
      </c>
      <c r="N9" s="297">
        <f t="shared" si="0"/>
        <v>77436.033062</v>
      </c>
      <c r="O9" s="297">
        <f t="shared" si="0"/>
        <v>33759.798</v>
      </c>
      <c r="P9" s="297">
        <f t="shared" si="0"/>
        <v>31205.072062</v>
      </c>
      <c r="Q9" s="297">
        <f t="shared" si="0"/>
        <v>115084.48311100001</v>
      </c>
      <c r="R9" s="297">
        <f t="shared" si="0"/>
        <v>24061.4266</v>
      </c>
      <c r="S9" s="297">
        <f t="shared" si="0"/>
        <v>2587.991</v>
      </c>
      <c r="T9" s="297">
        <f aca="true" t="shared" si="1" ref="T9:T21">D9/C9*100</f>
        <v>120.50450572476763</v>
      </c>
      <c r="U9" s="332"/>
    </row>
    <row r="10" spans="1:21" s="49" customFormat="1" ht="25.5" customHeight="1">
      <c r="A10" s="155" t="s">
        <v>35</v>
      </c>
      <c r="B10" s="298" t="s">
        <v>445</v>
      </c>
      <c r="C10" s="460">
        <f aca="true" t="shared" si="2" ref="C10:S10">SUM(C11:C107)</f>
        <v>419450.852</v>
      </c>
      <c r="D10" s="460">
        <f t="shared" si="2"/>
        <v>481151.469131</v>
      </c>
      <c r="E10" s="464">
        <f t="shared" si="2"/>
        <v>283991.48413100006</v>
      </c>
      <c r="F10" s="464">
        <f t="shared" si="2"/>
        <v>35.04</v>
      </c>
      <c r="G10" s="464">
        <f t="shared" si="2"/>
        <v>3075.288</v>
      </c>
      <c r="H10" s="464">
        <f t="shared" si="2"/>
        <v>2512.8</v>
      </c>
      <c r="I10" s="464">
        <f t="shared" si="2"/>
        <v>66399.35889999999</v>
      </c>
      <c r="J10" s="464">
        <f t="shared" si="2"/>
        <v>5278.116500000001</v>
      </c>
      <c r="K10" s="464">
        <f t="shared" si="2"/>
        <v>1079.1619</v>
      </c>
      <c r="L10" s="464">
        <f t="shared" si="2"/>
        <v>1573.039</v>
      </c>
      <c r="M10" s="464">
        <f t="shared" si="2"/>
        <v>3097.774</v>
      </c>
      <c r="N10" s="464">
        <f t="shared" si="2"/>
        <v>51298.765699999996</v>
      </c>
      <c r="O10" s="464">
        <f t="shared" si="2"/>
        <v>28274.279000000002</v>
      </c>
      <c r="P10" s="464">
        <f t="shared" si="2"/>
        <v>10553.3237</v>
      </c>
      <c r="Q10" s="464">
        <f t="shared" si="2"/>
        <v>36542.49950000001</v>
      </c>
      <c r="R10" s="460">
        <f t="shared" si="2"/>
        <v>23680.1505</v>
      </c>
      <c r="S10" s="460">
        <f t="shared" si="2"/>
        <v>2587.991</v>
      </c>
      <c r="T10" s="300">
        <f t="shared" si="1"/>
        <v>114.70985619335443</v>
      </c>
      <c r="U10" s="332"/>
    </row>
    <row r="11" spans="1:21" s="49" customFormat="1" ht="30" customHeight="1">
      <c r="A11" s="32">
        <v>1</v>
      </c>
      <c r="B11" s="510" t="s">
        <v>294</v>
      </c>
      <c r="C11" s="299">
        <f>'bieu 54'!E12</f>
        <v>7562.35</v>
      </c>
      <c r="D11" s="299">
        <f>SUM(E11:N11)+Q11+R11+S11</f>
        <v>8962.189</v>
      </c>
      <c r="E11" s="299">
        <v>845.542</v>
      </c>
      <c r="F11" s="299"/>
      <c r="G11" s="299"/>
      <c r="H11" s="299"/>
      <c r="I11" s="461"/>
      <c r="J11" s="299"/>
      <c r="K11" s="299"/>
      <c r="L11" s="299"/>
      <c r="M11" s="299"/>
      <c r="N11" s="461"/>
      <c r="O11" s="299"/>
      <c r="P11" s="299"/>
      <c r="Q11" s="299">
        <v>8116.647</v>
      </c>
      <c r="R11" s="299"/>
      <c r="S11" s="299"/>
      <c r="T11" s="331">
        <f t="shared" si="1"/>
        <v>118.51063492168439</v>
      </c>
      <c r="U11" s="332"/>
    </row>
    <row r="12" spans="1:21" s="49" customFormat="1" ht="30" customHeight="1">
      <c r="A12" s="32">
        <v>2</v>
      </c>
      <c r="B12" s="510" t="s">
        <v>446</v>
      </c>
      <c r="C12" s="299">
        <f>'bieu 54'!E13</f>
        <v>1133.758</v>
      </c>
      <c r="D12" s="299">
        <f aca="true" t="shared" si="3" ref="D12:D76">SUM(E12:N12)+Q12+R12+S12</f>
        <v>1261.961</v>
      </c>
      <c r="E12" s="299">
        <v>10</v>
      </c>
      <c r="F12" s="299"/>
      <c r="G12" s="299"/>
      <c r="H12" s="299"/>
      <c r="I12" s="299"/>
      <c r="J12" s="299"/>
      <c r="K12" s="299"/>
      <c r="L12" s="299"/>
      <c r="M12" s="299"/>
      <c r="N12" s="461"/>
      <c r="O12" s="299"/>
      <c r="P12" s="299"/>
      <c r="Q12" s="299">
        <v>1251.961</v>
      </c>
      <c r="R12" s="299"/>
      <c r="S12" s="299"/>
      <c r="T12" s="331">
        <f t="shared" si="1"/>
        <v>111.30779231546768</v>
      </c>
      <c r="U12" s="332"/>
    </row>
    <row r="13" spans="1:21" s="49" customFormat="1" ht="30" customHeight="1">
      <c r="A13" s="32">
        <v>3</v>
      </c>
      <c r="B13" s="510" t="s">
        <v>447</v>
      </c>
      <c r="C13" s="299">
        <f>'bieu 54'!E14</f>
        <v>546.7</v>
      </c>
      <c r="D13" s="299">
        <f t="shared" si="3"/>
        <v>630.994</v>
      </c>
      <c r="E13" s="299">
        <v>10</v>
      </c>
      <c r="F13" s="299"/>
      <c r="G13" s="299"/>
      <c r="H13" s="299"/>
      <c r="I13" s="299"/>
      <c r="J13" s="299"/>
      <c r="K13" s="299"/>
      <c r="L13" s="299"/>
      <c r="M13" s="299"/>
      <c r="N13" s="461"/>
      <c r="O13" s="299"/>
      <c r="P13" s="299"/>
      <c r="Q13" s="299">
        <v>620.994</v>
      </c>
      <c r="R13" s="299"/>
      <c r="S13" s="299"/>
      <c r="T13" s="331">
        <f t="shared" si="1"/>
        <v>115.41869398207425</v>
      </c>
      <c r="U13" s="332"/>
    </row>
    <row r="14" spans="1:21" s="49" customFormat="1" ht="30" customHeight="1">
      <c r="A14" s="32">
        <v>4</v>
      </c>
      <c r="B14" s="511" t="s">
        <v>448</v>
      </c>
      <c r="C14" s="299">
        <f>'bieu 54'!E15</f>
        <v>556.356</v>
      </c>
      <c r="D14" s="299">
        <f t="shared" si="3"/>
        <v>1516.297</v>
      </c>
      <c r="E14" s="299">
        <v>4.96</v>
      </c>
      <c r="F14" s="299"/>
      <c r="G14" s="299"/>
      <c r="H14" s="299"/>
      <c r="I14" s="299"/>
      <c r="J14" s="299"/>
      <c r="K14" s="299"/>
      <c r="L14" s="299"/>
      <c r="M14" s="299"/>
      <c r="N14" s="461">
        <v>3.28</v>
      </c>
      <c r="O14" s="299"/>
      <c r="P14" s="299"/>
      <c r="Q14" s="299">
        <v>1297.94</v>
      </c>
      <c r="R14" s="299">
        <v>210.117</v>
      </c>
      <c r="S14" s="299"/>
      <c r="T14" s="331">
        <f t="shared" si="1"/>
        <v>272.5407832395085</v>
      </c>
      <c r="U14" s="332"/>
    </row>
    <row r="15" spans="1:21" s="49" customFormat="1" ht="30" customHeight="1">
      <c r="A15" s="32">
        <v>5</v>
      </c>
      <c r="B15" s="510" t="s">
        <v>449</v>
      </c>
      <c r="C15" s="299">
        <f>'bieu 54'!E16</f>
        <v>813.91</v>
      </c>
      <c r="D15" s="299">
        <f t="shared" si="3"/>
        <v>948.954</v>
      </c>
      <c r="E15" s="299">
        <v>10</v>
      </c>
      <c r="F15" s="299"/>
      <c r="G15" s="299"/>
      <c r="H15" s="299"/>
      <c r="I15" s="299"/>
      <c r="J15" s="299"/>
      <c r="K15" s="299"/>
      <c r="L15" s="299"/>
      <c r="M15" s="299"/>
      <c r="N15" s="461"/>
      <c r="O15" s="299"/>
      <c r="P15" s="299"/>
      <c r="Q15" s="299">
        <v>938.954</v>
      </c>
      <c r="R15" s="299"/>
      <c r="S15" s="299"/>
      <c r="T15" s="331">
        <f t="shared" si="1"/>
        <v>116.59200648720373</v>
      </c>
      <c r="U15" s="332"/>
    </row>
    <row r="16" spans="1:21" s="49" customFormat="1" ht="30" customHeight="1">
      <c r="A16" s="32">
        <v>6</v>
      </c>
      <c r="B16" s="510" t="s">
        <v>450</v>
      </c>
      <c r="C16" s="299">
        <f>'bieu 54'!E17</f>
        <v>422.336</v>
      </c>
      <c r="D16" s="299">
        <f t="shared" si="3"/>
        <v>584.154</v>
      </c>
      <c r="E16" s="299">
        <v>10</v>
      </c>
      <c r="F16" s="299"/>
      <c r="G16" s="299"/>
      <c r="H16" s="299"/>
      <c r="I16" s="299"/>
      <c r="J16" s="299"/>
      <c r="K16" s="299"/>
      <c r="L16" s="299"/>
      <c r="M16" s="299"/>
      <c r="N16" s="461"/>
      <c r="O16" s="299"/>
      <c r="P16" s="299"/>
      <c r="Q16" s="299">
        <v>574.154</v>
      </c>
      <c r="R16" s="299"/>
      <c r="S16" s="299"/>
      <c r="T16" s="331">
        <f t="shared" si="1"/>
        <v>138.31499090771328</v>
      </c>
      <c r="U16" s="332"/>
    </row>
    <row r="17" spans="1:21" s="49" customFormat="1" ht="30" customHeight="1">
      <c r="A17" s="32">
        <v>7</v>
      </c>
      <c r="B17" s="510" t="s">
        <v>295</v>
      </c>
      <c r="C17" s="299">
        <f>'bieu 54'!E18</f>
        <v>4808.727999999999</v>
      </c>
      <c r="D17" s="299">
        <f t="shared" si="3"/>
        <v>7520.574</v>
      </c>
      <c r="E17" s="299"/>
      <c r="F17" s="299"/>
      <c r="G17" s="299"/>
      <c r="H17" s="299"/>
      <c r="I17" s="299"/>
      <c r="J17" s="299"/>
      <c r="K17" s="299"/>
      <c r="L17" s="299"/>
      <c r="M17" s="299"/>
      <c r="N17" s="461"/>
      <c r="O17" s="299"/>
      <c r="P17" s="299"/>
      <c r="Q17" s="299">
        <v>7520.574</v>
      </c>
      <c r="R17" s="299"/>
      <c r="S17" s="299"/>
      <c r="T17" s="331">
        <f t="shared" si="1"/>
        <v>156.39424812549183</v>
      </c>
      <c r="U17" s="332"/>
    </row>
    <row r="18" spans="1:21" s="49" customFormat="1" ht="30" customHeight="1">
      <c r="A18" s="32">
        <v>8</v>
      </c>
      <c r="B18" s="510" t="s">
        <v>451</v>
      </c>
      <c r="C18" s="299">
        <f>'bieu 54'!E19</f>
        <v>6977.57</v>
      </c>
      <c r="D18" s="299">
        <f t="shared" si="3"/>
        <v>6526.817400000001</v>
      </c>
      <c r="E18" s="299">
        <v>8.5557</v>
      </c>
      <c r="F18" s="299"/>
      <c r="G18" s="299"/>
      <c r="H18" s="299"/>
      <c r="I18" s="299"/>
      <c r="J18" s="299"/>
      <c r="K18" s="299"/>
      <c r="L18" s="299"/>
      <c r="M18" s="299"/>
      <c r="N18" s="461">
        <f>5689.1517-349.328</f>
        <v>5339.823700000001</v>
      </c>
      <c r="O18" s="299"/>
      <c r="P18" s="461">
        <v>5232.5807</v>
      </c>
      <c r="Q18" s="299">
        <v>1178.438</v>
      </c>
      <c r="R18" s="299"/>
      <c r="S18" s="299"/>
      <c r="T18" s="331">
        <f t="shared" si="1"/>
        <v>93.53997738467692</v>
      </c>
      <c r="U18" s="332"/>
    </row>
    <row r="19" spans="1:21" s="49" customFormat="1" ht="30" customHeight="1">
      <c r="A19" s="32">
        <v>9</v>
      </c>
      <c r="B19" s="510" t="s">
        <v>299</v>
      </c>
      <c r="C19" s="299">
        <f>'bieu 54'!E20</f>
        <v>664.3199999999999</v>
      </c>
      <c r="D19" s="299">
        <f t="shared" si="3"/>
        <v>1210.658</v>
      </c>
      <c r="E19" s="299"/>
      <c r="F19" s="299"/>
      <c r="G19" s="299"/>
      <c r="H19" s="299"/>
      <c r="I19" s="299"/>
      <c r="J19" s="299">
        <v>420</v>
      </c>
      <c r="K19" s="299"/>
      <c r="L19" s="299"/>
      <c r="M19" s="299"/>
      <c r="N19" s="461"/>
      <c r="O19" s="299"/>
      <c r="P19" s="299"/>
      <c r="Q19" s="299">
        <v>790.6579999999999</v>
      </c>
      <c r="R19" s="299"/>
      <c r="S19" s="299"/>
      <c r="T19" s="331">
        <f t="shared" si="1"/>
        <v>182.24018545279384</v>
      </c>
      <c r="U19" s="332"/>
    </row>
    <row r="20" spans="1:21" s="49" customFormat="1" ht="30" customHeight="1">
      <c r="A20" s="32">
        <v>10</v>
      </c>
      <c r="B20" s="510" t="s">
        <v>635</v>
      </c>
      <c r="C20" s="299">
        <f>'bieu 54'!E21</f>
        <v>29369.86</v>
      </c>
      <c r="D20" s="299">
        <f t="shared" si="3"/>
        <v>35809.086</v>
      </c>
      <c r="E20" s="299">
        <v>196</v>
      </c>
      <c r="F20" s="299"/>
      <c r="G20" s="299"/>
      <c r="H20" s="299"/>
      <c r="I20" s="299">
        <v>32953.315</v>
      </c>
      <c r="J20" s="299"/>
      <c r="K20" s="299"/>
      <c r="L20" s="299"/>
      <c r="M20" s="299"/>
      <c r="N20" s="461">
        <v>120</v>
      </c>
      <c r="O20" s="299"/>
      <c r="P20" s="299">
        <v>120</v>
      </c>
      <c r="Q20" s="299">
        <v>2539.771</v>
      </c>
      <c r="R20" s="299"/>
      <c r="S20" s="299"/>
      <c r="T20" s="331">
        <f t="shared" si="1"/>
        <v>121.92460570121888</v>
      </c>
      <c r="U20" s="332"/>
    </row>
    <row r="21" spans="1:21" s="49" customFormat="1" ht="30" customHeight="1">
      <c r="A21" s="32">
        <v>11</v>
      </c>
      <c r="B21" s="510" t="s">
        <v>297</v>
      </c>
      <c r="C21" s="299">
        <f>'bieu 54'!E22</f>
        <v>7520.37</v>
      </c>
      <c r="D21" s="299">
        <f t="shared" si="3"/>
        <v>12411.519</v>
      </c>
      <c r="E21" s="299"/>
      <c r="F21" s="299">
        <v>35.04</v>
      </c>
      <c r="G21" s="299"/>
      <c r="H21" s="299"/>
      <c r="I21" s="299"/>
      <c r="J21" s="299"/>
      <c r="K21" s="299"/>
      <c r="L21" s="299"/>
      <c r="M21" s="299"/>
      <c r="N21" s="461">
        <v>11200.937</v>
      </c>
      <c r="O21" s="299">
        <v>8326.277</v>
      </c>
      <c r="P21" s="299"/>
      <c r="Q21" s="299">
        <v>1175.542</v>
      </c>
      <c r="R21" s="299"/>
      <c r="S21" s="299"/>
      <c r="T21" s="331">
        <f t="shared" si="1"/>
        <v>165.0386749588119</v>
      </c>
      <c r="U21" s="332"/>
    </row>
    <row r="22" spans="1:21" s="49" customFormat="1" ht="30" customHeight="1">
      <c r="A22" s="32">
        <v>12</v>
      </c>
      <c r="B22" s="510" t="s">
        <v>532</v>
      </c>
      <c r="C22" s="299">
        <f>'bieu 54'!E23</f>
        <v>4468.08</v>
      </c>
      <c r="D22" s="299">
        <f t="shared" si="3"/>
        <v>4793.737999999999</v>
      </c>
      <c r="E22" s="299">
        <v>3475.307</v>
      </c>
      <c r="F22" s="299"/>
      <c r="G22" s="299"/>
      <c r="H22" s="299"/>
      <c r="I22" s="299"/>
      <c r="J22" s="299"/>
      <c r="K22" s="299"/>
      <c r="L22" s="299"/>
      <c r="M22" s="299"/>
      <c r="N22" s="461"/>
      <c r="O22" s="299"/>
      <c r="P22" s="299"/>
      <c r="Q22" s="299">
        <v>1318.431</v>
      </c>
      <c r="R22" s="299"/>
      <c r="S22" s="299"/>
      <c r="T22" s="331"/>
      <c r="U22" s="332"/>
    </row>
    <row r="23" spans="1:21" s="49" customFormat="1" ht="30" customHeight="1">
      <c r="A23" s="32">
        <v>13</v>
      </c>
      <c r="B23" s="512" t="s">
        <v>494</v>
      </c>
      <c r="C23" s="299">
        <f>'bieu 54'!E24</f>
        <v>27488.61</v>
      </c>
      <c r="D23" s="299">
        <f t="shared" si="3"/>
        <v>29356.239800000003</v>
      </c>
      <c r="E23" s="299">
        <v>1629.245</v>
      </c>
      <c r="F23" s="299"/>
      <c r="G23" s="299"/>
      <c r="H23" s="299"/>
      <c r="I23" s="299">
        <v>1020.1683</v>
      </c>
      <c r="J23" s="299">
        <v>946.847</v>
      </c>
      <c r="K23" s="299"/>
      <c r="L23" s="299"/>
      <c r="M23" s="299"/>
      <c r="N23" s="461">
        <v>39.833</v>
      </c>
      <c r="O23" s="299"/>
      <c r="P23" s="299"/>
      <c r="Q23" s="299">
        <v>2250.113</v>
      </c>
      <c r="R23" s="299">
        <v>23470.0335</v>
      </c>
      <c r="S23" s="299"/>
      <c r="T23" s="331"/>
      <c r="U23" s="332"/>
    </row>
    <row r="24" spans="1:21" s="49" customFormat="1" ht="30" customHeight="1">
      <c r="A24" s="32">
        <v>14</v>
      </c>
      <c r="B24" s="512" t="s">
        <v>452</v>
      </c>
      <c r="C24" s="299">
        <f>'bieu 54'!E25</f>
        <v>966.3</v>
      </c>
      <c r="D24" s="299">
        <f t="shared" si="3"/>
        <v>4080.508</v>
      </c>
      <c r="E24" s="299"/>
      <c r="F24" s="299"/>
      <c r="G24" s="299"/>
      <c r="H24" s="299"/>
      <c r="I24" s="299"/>
      <c r="J24" s="299">
        <v>2771.9615</v>
      </c>
      <c r="K24" s="299"/>
      <c r="L24" s="299"/>
      <c r="M24" s="299"/>
      <c r="N24" s="461">
        <v>10</v>
      </c>
      <c r="O24" s="299"/>
      <c r="P24" s="299"/>
      <c r="Q24" s="299">
        <v>1298.5465</v>
      </c>
      <c r="R24" s="299"/>
      <c r="S24" s="299"/>
      <c r="T24" s="331"/>
      <c r="U24" s="332"/>
    </row>
    <row r="25" spans="1:21" s="49" customFormat="1" ht="30" customHeight="1">
      <c r="A25" s="32">
        <v>15</v>
      </c>
      <c r="B25" s="512" t="s">
        <v>0</v>
      </c>
      <c r="C25" s="299">
        <f>'bieu 54'!E26</f>
        <v>4225.55</v>
      </c>
      <c r="D25" s="299">
        <f t="shared" si="3"/>
        <v>4245.968</v>
      </c>
      <c r="E25" s="299"/>
      <c r="F25" s="299"/>
      <c r="G25" s="299"/>
      <c r="H25" s="299"/>
      <c r="I25" s="299"/>
      <c r="J25" s="299"/>
      <c r="K25" s="299"/>
      <c r="L25" s="299"/>
      <c r="M25" s="299">
        <v>3097.774</v>
      </c>
      <c r="N25" s="461">
        <v>410.4040000000002</v>
      </c>
      <c r="O25" s="299"/>
      <c r="P25" s="299"/>
      <c r="Q25" s="299">
        <v>737.79</v>
      </c>
      <c r="R25" s="299"/>
      <c r="S25" s="299"/>
      <c r="T25" s="331"/>
      <c r="U25" s="332"/>
    </row>
    <row r="26" spans="1:21" s="49" customFormat="1" ht="30" customHeight="1">
      <c r="A26" s="32">
        <v>16</v>
      </c>
      <c r="B26" s="510" t="s">
        <v>296</v>
      </c>
      <c r="C26" s="299">
        <f>'bieu 54'!E27</f>
        <v>3694.4900000000007</v>
      </c>
      <c r="D26" s="299">
        <f t="shared" si="3"/>
        <v>3322.563</v>
      </c>
      <c r="E26" s="299">
        <v>105.423</v>
      </c>
      <c r="F26" s="299"/>
      <c r="G26" s="299"/>
      <c r="H26" s="299"/>
      <c r="I26" s="299"/>
      <c r="J26" s="299"/>
      <c r="K26" s="299"/>
      <c r="L26" s="299"/>
      <c r="M26" s="299"/>
      <c r="N26" s="461"/>
      <c r="O26" s="299"/>
      <c r="P26" s="299"/>
      <c r="Q26" s="299">
        <v>3217.14</v>
      </c>
      <c r="R26" s="299"/>
      <c r="S26" s="299"/>
      <c r="T26" s="331"/>
      <c r="U26" s="332"/>
    </row>
    <row r="27" spans="1:21" s="49" customFormat="1" ht="30" customHeight="1">
      <c r="A27" s="32">
        <v>17</v>
      </c>
      <c r="B27" s="510" t="s">
        <v>298</v>
      </c>
      <c r="C27" s="299">
        <f>'bieu 54'!E28</f>
        <v>741.95</v>
      </c>
      <c r="D27" s="299">
        <f t="shared" si="3"/>
        <v>874.253</v>
      </c>
      <c r="E27" s="299"/>
      <c r="F27" s="299"/>
      <c r="G27" s="299"/>
      <c r="H27" s="299"/>
      <c r="I27" s="299"/>
      <c r="J27" s="299"/>
      <c r="K27" s="299"/>
      <c r="L27" s="299"/>
      <c r="M27" s="299"/>
      <c r="N27" s="461"/>
      <c r="O27" s="299"/>
      <c r="P27" s="299"/>
      <c r="Q27" s="299">
        <v>874.253</v>
      </c>
      <c r="R27" s="299"/>
      <c r="S27" s="299"/>
      <c r="T27" s="331"/>
      <c r="U27" s="332"/>
    </row>
    <row r="28" spans="1:21" s="49" customFormat="1" ht="30" customHeight="1">
      <c r="A28" s="32">
        <v>18</v>
      </c>
      <c r="B28" s="512" t="s">
        <v>457</v>
      </c>
      <c r="C28" s="299">
        <f>'bieu 54'!E29</f>
        <v>165.91</v>
      </c>
      <c r="D28" s="299">
        <f t="shared" si="3"/>
        <v>239.743</v>
      </c>
      <c r="E28" s="299"/>
      <c r="F28" s="299"/>
      <c r="G28" s="299"/>
      <c r="H28" s="299"/>
      <c r="I28" s="299"/>
      <c r="J28" s="299"/>
      <c r="K28" s="299"/>
      <c r="L28" s="299"/>
      <c r="M28" s="299"/>
      <c r="N28" s="461"/>
      <c r="O28" s="299"/>
      <c r="P28" s="299"/>
      <c r="Q28" s="49">
        <v>239.743</v>
      </c>
      <c r="R28" s="299"/>
      <c r="S28" s="299"/>
      <c r="T28" s="331"/>
      <c r="U28" s="332"/>
    </row>
    <row r="29" spans="1:21" s="49" customFormat="1" ht="30" customHeight="1">
      <c r="A29" s="32">
        <v>19</v>
      </c>
      <c r="B29" s="512" t="s">
        <v>456</v>
      </c>
      <c r="C29" s="299">
        <f>'bieu 54'!E30</f>
        <v>92.96</v>
      </c>
      <c r="D29" s="299">
        <f t="shared" si="3"/>
        <v>100.664</v>
      </c>
      <c r="E29" s="299"/>
      <c r="F29" s="299"/>
      <c r="G29" s="299"/>
      <c r="H29" s="299"/>
      <c r="I29" s="299"/>
      <c r="J29" s="299"/>
      <c r="K29" s="299"/>
      <c r="L29" s="299"/>
      <c r="M29" s="299"/>
      <c r="N29" s="461"/>
      <c r="O29" s="299"/>
      <c r="P29" s="299"/>
      <c r="Q29" s="299">
        <v>100.664</v>
      </c>
      <c r="R29" s="299"/>
      <c r="S29" s="299"/>
      <c r="T29" s="331"/>
      <c r="U29" s="332"/>
    </row>
    <row r="30" spans="1:21" s="49" customFormat="1" ht="30" customHeight="1">
      <c r="A30" s="32">
        <v>20</v>
      </c>
      <c r="B30" s="512" t="s">
        <v>458</v>
      </c>
      <c r="C30" s="299">
        <f>'bieu 54'!E31</f>
        <v>93.64</v>
      </c>
      <c r="D30" s="299">
        <f t="shared" si="3"/>
        <v>119.22</v>
      </c>
      <c r="E30" s="299"/>
      <c r="F30" s="299"/>
      <c r="G30" s="299"/>
      <c r="H30" s="299"/>
      <c r="I30" s="299"/>
      <c r="J30" s="299"/>
      <c r="K30" s="299"/>
      <c r="L30" s="299"/>
      <c r="M30" s="299"/>
      <c r="N30" s="461"/>
      <c r="O30" s="299"/>
      <c r="P30" s="299"/>
      <c r="Q30" s="299">
        <v>119.22</v>
      </c>
      <c r="R30" s="299"/>
      <c r="S30" s="299"/>
      <c r="T30" s="331"/>
      <c r="U30" s="332"/>
    </row>
    <row r="31" spans="1:21" s="49" customFormat="1" ht="30" customHeight="1">
      <c r="A31" s="32">
        <v>21</v>
      </c>
      <c r="B31" s="512" t="s">
        <v>459</v>
      </c>
      <c r="C31" s="299">
        <f>'bieu 54'!E32</f>
        <v>40</v>
      </c>
      <c r="D31" s="299">
        <f t="shared" si="3"/>
        <v>70.55</v>
      </c>
      <c r="E31" s="299"/>
      <c r="F31" s="299"/>
      <c r="G31" s="299"/>
      <c r="H31" s="299"/>
      <c r="I31" s="299"/>
      <c r="J31" s="299"/>
      <c r="K31" s="299"/>
      <c r="L31" s="299"/>
      <c r="M31" s="299"/>
      <c r="N31" s="461"/>
      <c r="O31" s="299"/>
      <c r="P31" s="299"/>
      <c r="Q31" s="299">
        <v>70.55</v>
      </c>
      <c r="R31" s="299"/>
      <c r="S31" s="299"/>
      <c r="T31" s="331"/>
      <c r="U31" s="332"/>
    </row>
    <row r="32" spans="1:21" s="49" customFormat="1" ht="30" customHeight="1">
      <c r="A32" s="32">
        <v>22</v>
      </c>
      <c r="B32" s="512" t="s">
        <v>460</v>
      </c>
      <c r="C32" s="299">
        <f>'bieu 54'!E33</f>
        <v>83.64</v>
      </c>
      <c r="D32" s="299">
        <f t="shared" si="3"/>
        <v>89.22</v>
      </c>
      <c r="E32" s="299"/>
      <c r="F32" s="299"/>
      <c r="G32" s="299"/>
      <c r="H32" s="299"/>
      <c r="I32" s="299"/>
      <c r="J32" s="299"/>
      <c r="K32" s="299"/>
      <c r="L32" s="299"/>
      <c r="M32" s="299"/>
      <c r="N32" s="461"/>
      <c r="O32" s="299"/>
      <c r="P32" s="299"/>
      <c r="Q32" s="299">
        <v>89.22</v>
      </c>
      <c r="R32" s="299"/>
      <c r="S32" s="299"/>
      <c r="T32" s="331"/>
      <c r="U32" s="332"/>
    </row>
    <row r="33" spans="1:21" s="49" customFormat="1" ht="30" customHeight="1">
      <c r="A33" s="32">
        <v>23</v>
      </c>
      <c r="B33" s="512" t="s">
        <v>461</v>
      </c>
      <c r="C33" s="299">
        <f>'bieu 54'!E34</f>
        <v>200.43</v>
      </c>
      <c r="D33" s="299">
        <f t="shared" si="3"/>
        <v>221.196</v>
      </c>
      <c r="E33" s="299"/>
      <c r="F33" s="299"/>
      <c r="G33" s="299"/>
      <c r="H33" s="299"/>
      <c r="I33" s="299"/>
      <c r="J33" s="299"/>
      <c r="K33" s="299"/>
      <c r="L33" s="299"/>
      <c r="M33" s="299"/>
      <c r="N33" s="461"/>
      <c r="O33" s="299"/>
      <c r="P33" s="299"/>
      <c r="Q33" s="299">
        <v>221.196</v>
      </c>
      <c r="R33" s="299"/>
      <c r="S33" s="299"/>
      <c r="T33" s="331"/>
      <c r="U33" s="332"/>
    </row>
    <row r="34" spans="1:21" s="49" customFormat="1" ht="30" customHeight="1">
      <c r="A34" s="32">
        <v>24</v>
      </c>
      <c r="B34" s="512" t="s">
        <v>462</v>
      </c>
      <c r="C34" s="299">
        <f>'bieu 54'!E35</f>
        <v>23294.35</v>
      </c>
      <c r="D34" s="299">
        <f t="shared" si="3"/>
        <v>32475.374799999998</v>
      </c>
      <c r="E34" s="299"/>
      <c r="F34" s="299"/>
      <c r="G34" s="299"/>
      <c r="H34" s="299"/>
      <c r="I34" s="299">
        <v>2589.7368</v>
      </c>
      <c r="J34" s="299"/>
      <c r="K34" s="299"/>
      <c r="L34" s="299"/>
      <c r="M34" s="299"/>
      <c r="N34" s="461">
        <f>27157.555+2828.083-100</f>
        <v>29885.638</v>
      </c>
      <c r="O34" s="299">
        <v>19948.002</v>
      </c>
      <c r="P34" s="299">
        <v>2828.083</v>
      </c>
      <c r="Q34" s="299"/>
      <c r="R34" s="299"/>
      <c r="S34" s="299"/>
      <c r="T34" s="331"/>
      <c r="U34" s="332"/>
    </row>
    <row r="35" spans="1:21" s="49" customFormat="1" ht="30" customHeight="1">
      <c r="A35" s="32">
        <v>25</v>
      </c>
      <c r="B35" s="510" t="s">
        <v>453</v>
      </c>
      <c r="C35" s="299">
        <f>'bieu 54'!E36</f>
        <v>21521.2</v>
      </c>
      <c r="D35" s="299">
        <f t="shared" si="3"/>
        <v>29836.1388</v>
      </c>
      <c r="E35" s="299"/>
      <c r="F35" s="299"/>
      <c r="G35" s="299"/>
      <c r="H35" s="299"/>
      <c r="I35" s="299">
        <f>32425.8756-2589.7368</f>
        <v>29836.1388</v>
      </c>
      <c r="J35" s="299"/>
      <c r="K35" s="299"/>
      <c r="L35" s="299"/>
      <c r="M35" s="299"/>
      <c r="N35" s="461"/>
      <c r="O35" s="299"/>
      <c r="P35" s="299"/>
      <c r="Q35" s="299"/>
      <c r="R35" s="299"/>
      <c r="S35" s="299"/>
      <c r="T35" s="331"/>
      <c r="U35" s="332"/>
    </row>
    <row r="36" spans="1:21" s="49" customFormat="1" ht="30" customHeight="1">
      <c r="A36" s="32">
        <v>26</v>
      </c>
      <c r="B36" s="511" t="s">
        <v>454</v>
      </c>
      <c r="C36" s="299">
        <f>'bieu 54'!E37</f>
        <v>600.33</v>
      </c>
      <c r="D36" s="299">
        <f t="shared" si="3"/>
        <v>1811.198</v>
      </c>
      <c r="E36" s="299"/>
      <c r="F36" s="299"/>
      <c r="G36" s="299"/>
      <c r="H36" s="299"/>
      <c r="I36" s="299"/>
      <c r="J36" s="299"/>
      <c r="K36" s="299"/>
      <c r="L36" s="299"/>
      <c r="M36" s="299"/>
      <c r="N36" s="461">
        <v>1811.198</v>
      </c>
      <c r="O36" s="299"/>
      <c r="P36" s="299"/>
      <c r="Q36" s="299"/>
      <c r="R36" s="299"/>
      <c r="S36" s="299"/>
      <c r="T36" s="331"/>
      <c r="U36" s="332"/>
    </row>
    <row r="37" spans="1:21" s="49" customFormat="1" ht="30" customHeight="1">
      <c r="A37" s="32">
        <v>27</v>
      </c>
      <c r="B37" s="511" t="s">
        <v>501</v>
      </c>
      <c r="C37" s="299">
        <f>'bieu 54'!E38</f>
        <v>681.01</v>
      </c>
      <c r="D37" s="299">
        <f t="shared" si="3"/>
        <v>0</v>
      </c>
      <c r="E37" s="299"/>
      <c r="F37" s="299"/>
      <c r="G37" s="299"/>
      <c r="H37" s="299"/>
      <c r="I37" s="299"/>
      <c r="J37" s="299"/>
      <c r="K37" s="299"/>
      <c r="L37" s="299"/>
      <c r="M37" s="299"/>
      <c r="N37" s="461"/>
      <c r="O37" s="299"/>
      <c r="P37" s="299"/>
      <c r="Q37" s="299"/>
      <c r="R37" s="299"/>
      <c r="S37" s="299"/>
      <c r="T37" s="331"/>
      <c r="U37" s="332"/>
    </row>
    <row r="38" spans="1:21" s="49" customFormat="1" ht="30" customHeight="1">
      <c r="A38" s="32">
        <v>28</v>
      </c>
      <c r="B38" s="510" t="s">
        <v>455</v>
      </c>
      <c r="C38" s="299">
        <f>'bieu 54'!E39</f>
        <v>2438.43</v>
      </c>
      <c r="D38" s="299">
        <f t="shared" si="3"/>
        <v>4260.436</v>
      </c>
      <c r="E38" s="299">
        <v>4260.436</v>
      </c>
      <c r="F38" s="299"/>
      <c r="G38" s="299"/>
      <c r="H38" s="299"/>
      <c r="I38" s="299"/>
      <c r="J38" s="299"/>
      <c r="K38" s="299"/>
      <c r="L38" s="299"/>
      <c r="M38" s="299"/>
      <c r="N38" s="461"/>
      <c r="O38" s="299"/>
      <c r="P38" s="299"/>
      <c r="Q38" s="299"/>
      <c r="R38" s="299"/>
      <c r="S38" s="299"/>
      <c r="T38" s="331"/>
      <c r="U38" s="332"/>
    </row>
    <row r="39" spans="1:21" s="49" customFormat="1" ht="30" customHeight="1">
      <c r="A39" s="32">
        <v>29</v>
      </c>
      <c r="B39" s="510" t="s">
        <v>466</v>
      </c>
      <c r="C39" s="299">
        <f>'bieu 54'!E40</f>
        <v>3347.97</v>
      </c>
      <c r="D39" s="299">
        <f t="shared" si="3"/>
        <v>3891.5089000000007</v>
      </c>
      <c r="E39" s="299"/>
      <c r="F39" s="299"/>
      <c r="G39" s="299"/>
      <c r="H39" s="299"/>
      <c r="I39" s="299"/>
      <c r="J39" s="299">
        <v>1139.308000000001</v>
      </c>
      <c r="K39" s="299">
        <v>1079.1619</v>
      </c>
      <c r="L39" s="299">
        <v>1573.039</v>
      </c>
      <c r="M39" s="299"/>
      <c r="N39" s="461">
        <v>100</v>
      </c>
      <c r="O39" s="299"/>
      <c r="P39" s="299"/>
      <c r="Q39" s="299"/>
      <c r="R39" s="299"/>
      <c r="S39" s="299"/>
      <c r="T39" s="331"/>
      <c r="U39" s="332"/>
    </row>
    <row r="40" spans="1:21" s="49" customFormat="1" ht="30" customHeight="1">
      <c r="A40" s="32">
        <v>30</v>
      </c>
      <c r="B40" s="510" t="s">
        <v>467</v>
      </c>
      <c r="C40" s="299">
        <f>'bieu 54'!E41</f>
        <v>2107.65</v>
      </c>
      <c r="D40" s="299">
        <f t="shared" si="3"/>
        <v>2377.6519999999996</v>
      </c>
      <c r="E40" s="299"/>
      <c r="F40" s="299"/>
      <c r="G40" s="299"/>
      <c r="H40" s="299"/>
      <c r="I40" s="299"/>
      <c r="J40" s="299"/>
      <c r="K40" s="299"/>
      <c r="L40" s="299"/>
      <c r="M40" s="299"/>
      <c r="N40" s="461">
        <f>5205.735-2828.083</f>
        <v>2377.6519999999996</v>
      </c>
      <c r="O40" s="299"/>
      <c r="P40" s="299">
        <f>5200.743-2828.083</f>
        <v>2372.6600000000003</v>
      </c>
      <c r="Q40" s="299"/>
      <c r="R40" s="299"/>
      <c r="S40" s="299"/>
      <c r="T40" s="331"/>
      <c r="U40" s="332"/>
    </row>
    <row r="41" spans="1:21" s="49" customFormat="1" ht="30" customHeight="1">
      <c r="A41" s="32">
        <v>31</v>
      </c>
      <c r="B41" s="510" t="s">
        <v>588</v>
      </c>
      <c r="C41" s="299">
        <f>'bieu 54'!E42</f>
        <v>6568.31</v>
      </c>
      <c r="D41" s="299">
        <f t="shared" si="3"/>
        <v>7348.5874</v>
      </c>
      <c r="E41" s="299">
        <f>'bieu 54'!I42</f>
        <v>7348.5874</v>
      </c>
      <c r="F41" s="299"/>
      <c r="G41" s="299"/>
      <c r="H41" s="299"/>
      <c r="I41" s="299"/>
      <c r="J41" s="299"/>
      <c r="K41" s="299"/>
      <c r="L41" s="299"/>
      <c r="M41" s="299"/>
      <c r="N41" s="461"/>
      <c r="O41" s="299"/>
      <c r="P41" s="299"/>
      <c r="Q41" s="299"/>
      <c r="R41" s="299"/>
      <c r="S41" s="299"/>
      <c r="T41" s="331"/>
      <c r="U41" s="332"/>
    </row>
    <row r="42" spans="1:21" s="49" customFormat="1" ht="30" customHeight="1">
      <c r="A42" s="32">
        <v>32</v>
      </c>
      <c r="B42" s="510" t="s">
        <v>589</v>
      </c>
      <c r="C42" s="299">
        <f>'bieu 54'!E43</f>
        <v>5440.25</v>
      </c>
      <c r="D42" s="299">
        <f t="shared" si="3"/>
        <v>5665.905076</v>
      </c>
      <c r="E42" s="299">
        <f>'bieu 54'!I43</f>
        <v>5665.905076</v>
      </c>
      <c r="F42" s="299"/>
      <c r="G42" s="299"/>
      <c r="H42" s="299"/>
      <c r="I42" s="299"/>
      <c r="J42" s="299"/>
      <c r="K42" s="299"/>
      <c r="L42" s="299"/>
      <c r="M42" s="299"/>
      <c r="N42" s="461"/>
      <c r="O42" s="299"/>
      <c r="P42" s="299"/>
      <c r="Q42" s="299"/>
      <c r="R42" s="299"/>
      <c r="S42" s="299"/>
      <c r="T42" s="331"/>
      <c r="U42" s="332"/>
    </row>
    <row r="43" spans="1:21" s="49" customFormat="1" ht="30" customHeight="1">
      <c r="A43" s="32">
        <v>33</v>
      </c>
      <c r="B43" s="510" t="s">
        <v>590</v>
      </c>
      <c r="C43" s="299">
        <f>'bieu 54'!E44</f>
        <v>4669.59</v>
      </c>
      <c r="D43" s="299">
        <f t="shared" si="3"/>
        <v>5108.7518</v>
      </c>
      <c r="E43" s="299">
        <f>'bieu 54'!I44</f>
        <v>5108.7518</v>
      </c>
      <c r="F43" s="299"/>
      <c r="G43" s="299"/>
      <c r="H43" s="299"/>
      <c r="I43" s="299"/>
      <c r="J43" s="299"/>
      <c r="K43" s="299"/>
      <c r="L43" s="299"/>
      <c r="M43" s="299"/>
      <c r="N43" s="461"/>
      <c r="O43" s="299"/>
      <c r="P43" s="299"/>
      <c r="Q43" s="299"/>
      <c r="R43" s="299"/>
      <c r="S43" s="299"/>
      <c r="T43" s="331"/>
      <c r="U43" s="332"/>
    </row>
    <row r="44" spans="1:21" s="49" customFormat="1" ht="30" customHeight="1">
      <c r="A44" s="32">
        <v>34</v>
      </c>
      <c r="B44" s="510" t="s">
        <v>591</v>
      </c>
      <c r="C44" s="299">
        <f>'bieu 54'!E45</f>
        <v>4428.01</v>
      </c>
      <c r="D44" s="299">
        <f t="shared" si="3"/>
        <v>5142.9682</v>
      </c>
      <c r="E44" s="299">
        <f>'bieu 54'!I45</f>
        <v>5142.9682</v>
      </c>
      <c r="F44" s="299"/>
      <c r="G44" s="299"/>
      <c r="H44" s="299"/>
      <c r="I44" s="299"/>
      <c r="J44" s="299"/>
      <c r="K44" s="299"/>
      <c r="L44" s="299"/>
      <c r="M44" s="299"/>
      <c r="N44" s="461"/>
      <c r="O44" s="299"/>
      <c r="P44" s="299"/>
      <c r="Q44" s="299"/>
      <c r="R44" s="299"/>
      <c r="S44" s="299"/>
      <c r="T44" s="331"/>
      <c r="U44" s="332"/>
    </row>
    <row r="45" spans="1:21" s="49" customFormat="1" ht="30" customHeight="1">
      <c r="A45" s="32">
        <v>35</v>
      </c>
      <c r="B45" s="510" t="s">
        <v>592</v>
      </c>
      <c r="C45" s="299">
        <f>'bieu 54'!E46</f>
        <v>6132.125</v>
      </c>
      <c r="D45" s="299">
        <f t="shared" si="3"/>
        <v>6527.3514</v>
      </c>
      <c r="E45" s="299">
        <f>'bieu 54'!I46</f>
        <v>6527.3514</v>
      </c>
      <c r="F45" s="299"/>
      <c r="G45" s="299"/>
      <c r="H45" s="299"/>
      <c r="I45" s="299"/>
      <c r="J45" s="299"/>
      <c r="K45" s="299"/>
      <c r="L45" s="299"/>
      <c r="M45" s="299"/>
      <c r="N45" s="461"/>
      <c r="O45" s="299"/>
      <c r="P45" s="299"/>
      <c r="Q45" s="299"/>
      <c r="R45" s="299"/>
      <c r="S45" s="299"/>
      <c r="T45" s="331"/>
      <c r="U45" s="332"/>
    </row>
    <row r="46" spans="1:21" s="49" customFormat="1" ht="30" customHeight="1">
      <c r="A46" s="32">
        <v>36</v>
      </c>
      <c r="B46" s="510" t="s">
        <v>593</v>
      </c>
      <c r="C46" s="299">
        <f>'bieu 54'!E47</f>
        <v>2778.685</v>
      </c>
      <c r="D46" s="299">
        <f t="shared" si="3"/>
        <v>3368.1931</v>
      </c>
      <c r="E46" s="299">
        <f>'bieu 54'!I47</f>
        <v>3368.1931</v>
      </c>
      <c r="F46" s="299"/>
      <c r="G46" s="299"/>
      <c r="H46" s="299"/>
      <c r="I46" s="299"/>
      <c r="J46" s="299"/>
      <c r="K46" s="299"/>
      <c r="L46" s="299"/>
      <c r="M46" s="299"/>
      <c r="N46" s="461"/>
      <c r="O46" s="299"/>
      <c r="P46" s="299"/>
      <c r="Q46" s="299"/>
      <c r="R46" s="299"/>
      <c r="S46" s="299"/>
      <c r="T46" s="331"/>
      <c r="U46" s="332"/>
    </row>
    <row r="47" spans="1:21" s="49" customFormat="1" ht="30" customHeight="1">
      <c r="A47" s="32">
        <v>37</v>
      </c>
      <c r="B47" s="510" t="s">
        <v>594</v>
      </c>
      <c r="C47" s="299">
        <f>'bieu 54'!E48</f>
        <v>5133.515</v>
      </c>
      <c r="D47" s="299">
        <f t="shared" si="3"/>
        <v>5552.2682</v>
      </c>
      <c r="E47" s="299">
        <f>'bieu 54'!I48</f>
        <v>5552.2682</v>
      </c>
      <c r="F47" s="299"/>
      <c r="G47" s="299"/>
      <c r="H47" s="299"/>
      <c r="I47" s="299"/>
      <c r="J47" s="299"/>
      <c r="K47" s="299"/>
      <c r="L47" s="299"/>
      <c r="M47" s="299"/>
      <c r="N47" s="461"/>
      <c r="O47" s="299"/>
      <c r="P47" s="299"/>
      <c r="Q47" s="299"/>
      <c r="R47" s="299"/>
      <c r="S47" s="299"/>
      <c r="T47" s="331"/>
      <c r="U47" s="332"/>
    </row>
    <row r="48" spans="1:21" s="49" customFormat="1" ht="30" customHeight="1">
      <c r="A48" s="32">
        <v>38</v>
      </c>
      <c r="B48" s="510" t="s">
        <v>601</v>
      </c>
      <c r="C48" s="299">
        <f>'bieu 54'!E49</f>
        <v>4229.515</v>
      </c>
      <c r="D48" s="299">
        <f t="shared" si="3"/>
        <v>4588.576</v>
      </c>
      <c r="E48" s="299">
        <f>'bieu 54'!I49</f>
        <v>4588.576</v>
      </c>
      <c r="F48" s="299"/>
      <c r="G48" s="299"/>
      <c r="H48" s="299"/>
      <c r="I48" s="299"/>
      <c r="J48" s="299"/>
      <c r="K48" s="299"/>
      <c r="L48" s="299"/>
      <c r="M48" s="299"/>
      <c r="N48" s="461"/>
      <c r="O48" s="299"/>
      <c r="P48" s="299"/>
      <c r="Q48" s="299"/>
      <c r="R48" s="299"/>
      <c r="S48" s="299"/>
      <c r="T48" s="331"/>
      <c r="U48" s="332"/>
    </row>
    <row r="49" spans="1:21" s="49" customFormat="1" ht="30" customHeight="1">
      <c r="A49" s="32">
        <v>39</v>
      </c>
      <c r="B49" s="510" t="s">
        <v>595</v>
      </c>
      <c r="C49" s="299">
        <f>'bieu 54'!E50</f>
        <v>4252.25</v>
      </c>
      <c r="D49" s="299">
        <f t="shared" si="3"/>
        <v>4600.77036</v>
      </c>
      <c r="E49" s="299">
        <f>'bieu 54'!I50</f>
        <v>4600.77036</v>
      </c>
      <c r="F49" s="299"/>
      <c r="G49" s="299"/>
      <c r="H49" s="299"/>
      <c r="I49" s="299"/>
      <c r="J49" s="299"/>
      <c r="K49" s="299"/>
      <c r="L49" s="299"/>
      <c r="M49" s="299"/>
      <c r="N49" s="461"/>
      <c r="O49" s="299"/>
      <c r="P49" s="299"/>
      <c r="Q49" s="299"/>
      <c r="R49" s="299"/>
      <c r="S49" s="299"/>
      <c r="T49" s="331"/>
      <c r="U49" s="332"/>
    </row>
    <row r="50" spans="1:21" s="49" customFormat="1" ht="30" customHeight="1">
      <c r="A50" s="32">
        <v>40</v>
      </c>
      <c r="B50" s="510" t="s">
        <v>596</v>
      </c>
      <c r="C50" s="299">
        <f>'bieu 54'!E51</f>
        <v>7283.1</v>
      </c>
      <c r="D50" s="299">
        <f t="shared" si="3"/>
        <v>7897.030908</v>
      </c>
      <c r="E50" s="299">
        <f>'bieu 54'!I51</f>
        <v>7897.030908</v>
      </c>
      <c r="F50" s="299"/>
      <c r="G50" s="299"/>
      <c r="H50" s="299"/>
      <c r="I50" s="299"/>
      <c r="J50" s="299"/>
      <c r="K50" s="299"/>
      <c r="L50" s="299"/>
      <c r="M50" s="299"/>
      <c r="N50" s="461"/>
      <c r="O50" s="299"/>
      <c r="P50" s="299"/>
      <c r="Q50" s="299"/>
      <c r="R50" s="299"/>
      <c r="S50" s="299"/>
      <c r="T50" s="331"/>
      <c r="U50" s="332"/>
    </row>
    <row r="51" spans="1:21" s="49" customFormat="1" ht="30" customHeight="1">
      <c r="A51" s="32">
        <v>41</v>
      </c>
      <c r="B51" s="510" t="s">
        <v>597</v>
      </c>
      <c r="C51" s="299">
        <f>'bieu 54'!E52</f>
        <v>3072.68</v>
      </c>
      <c r="D51" s="299">
        <f t="shared" si="3"/>
        <v>3406.14</v>
      </c>
      <c r="E51" s="299">
        <f>'bieu 54'!I52</f>
        <v>3406.14</v>
      </c>
      <c r="F51" s="299"/>
      <c r="G51" s="299"/>
      <c r="H51" s="299"/>
      <c r="I51" s="299"/>
      <c r="J51" s="299"/>
      <c r="K51" s="299"/>
      <c r="L51" s="299"/>
      <c r="M51" s="299"/>
      <c r="N51" s="461"/>
      <c r="O51" s="299"/>
      <c r="P51" s="299"/>
      <c r="Q51" s="299"/>
      <c r="R51" s="299"/>
      <c r="S51" s="299"/>
      <c r="T51" s="331"/>
      <c r="U51" s="332"/>
    </row>
    <row r="52" spans="1:21" s="49" customFormat="1" ht="30" customHeight="1">
      <c r="A52" s="32">
        <v>42</v>
      </c>
      <c r="B52" s="510" t="s">
        <v>598</v>
      </c>
      <c r="C52" s="299">
        <f>'bieu 54'!E53</f>
        <v>3784.325</v>
      </c>
      <c r="D52" s="299">
        <f t="shared" si="3"/>
        <v>4259.325285</v>
      </c>
      <c r="E52" s="299">
        <f>'bieu 54'!I53</f>
        <v>4259.325285</v>
      </c>
      <c r="F52" s="299"/>
      <c r="G52" s="299"/>
      <c r="H52" s="299"/>
      <c r="I52" s="299"/>
      <c r="J52" s="299"/>
      <c r="K52" s="299"/>
      <c r="L52" s="299"/>
      <c r="M52" s="299"/>
      <c r="N52" s="461"/>
      <c r="O52" s="299"/>
      <c r="P52" s="299"/>
      <c r="Q52" s="299"/>
      <c r="R52" s="299"/>
      <c r="S52" s="299"/>
      <c r="T52" s="331"/>
      <c r="U52" s="332"/>
    </row>
    <row r="53" spans="1:21" s="49" customFormat="1" ht="30" customHeight="1">
      <c r="A53" s="32">
        <v>43</v>
      </c>
      <c r="B53" s="510" t="s">
        <v>599</v>
      </c>
      <c r="C53" s="299">
        <f>'bieu 54'!E54</f>
        <v>3899.035</v>
      </c>
      <c r="D53" s="299">
        <f t="shared" si="3"/>
        <v>4338.497</v>
      </c>
      <c r="E53" s="299">
        <f>'bieu 54'!I54</f>
        <v>4338.497</v>
      </c>
      <c r="F53" s="299"/>
      <c r="G53" s="299"/>
      <c r="H53" s="299"/>
      <c r="I53" s="299"/>
      <c r="J53" s="299"/>
      <c r="K53" s="299"/>
      <c r="L53" s="299"/>
      <c r="M53" s="299"/>
      <c r="N53" s="461"/>
      <c r="O53" s="299"/>
      <c r="P53" s="299"/>
      <c r="Q53" s="299"/>
      <c r="R53" s="299"/>
      <c r="S53" s="299"/>
      <c r="T53" s="331"/>
      <c r="U53" s="332"/>
    </row>
    <row r="54" spans="1:21" s="49" customFormat="1" ht="30" customHeight="1">
      <c r="A54" s="32">
        <v>44</v>
      </c>
      <c r="B54" s="510" t="s">
        <v>600</v>
      </c>
      <c r="C54" s="299">
        <f>'bieu 54'!E55</f>
        <v>3317.825</v>
      </c>
      <c r="D54" s="299">
        <f t="shared" si="3"/>
        <v>3983.570476</v>
      </c>
      <c r="E54" s="299">
        <f>'bieu 54'!I55</f>
        <v>3983.570476</v>
      </c>
      <c r="F54" s="299"/>
      <c r="G54" s="299"/>
      <c r="H54" s="299"/>
      <c r="I54" s="299"/>
      <c r="J54" s="299"/>
      <c r="K54" s="299"/>
      <c r="L54" s="299"/>
      <c r="M54" s="299"/>
      <c r="N54" s="461"/>
      <c r="O54" s="299"/>
      <c r="P54" s="299"/>
      <c r="Q54" s="299"/>
      <c r="R54" s="299"/>
      <c r="S54" s="299"/>
      <c r="T54" s="331"/>
      <c r="U54" s="332"/>
    </row>
    <row r="55" spans="1:21" s="49" customFormat="1" ht="30" customHeight="1">
      <c r="A55" s="32">
        <v>45</v>
      </c>
      <c r="B55" s="510" t="s">
        <v>602</v>
      </c>
      <c r="C55" s="299">
        <f>'bieu 54'!E56</f>
        <v>2248.775</v>
      </c>
      <c r="D55" s="299">
        <f t="shared" si="3"/>
        <v>2535.7614</v>
      </c>
      <c r="E55" s="299">
        <f>'bieu 54'!I56</f>
        <v>2535.7614</v>
      </c>
      <c r="F55" s="299"/>
      <c r="G55" s="299"/>
      <c r="H55" s="299"/>
      <c r="I55" s="299"/>
      <c r="J55" s="299"/>
      <c r="K55" s="299"/>
      <c r="L55" s="299"/>
      <c r="M55" s="299"/>
      <c r="N55" s="461"/>
      <c r="O55" s="299"/>
      <c r="P55" s="299"/>
      <c r="Q55" s="299"/>
      <c r="R55" s="299"/>
      <c r="S55" s="299"/>
      <c r="T55" s="331"/>
      <c r="U55" s="332"/>
    </row>
    <row r="56" spans="1:21" s="49" customFormat="1" ht="30" customHeight="1">
      <c r="A56" s="32">
        <v>46</v>
      </c>
      <c r="B56" s="510" t="s">
        <v>603</v>
      </c>
      <c r="C56" s="299">
        <f>'bieu 54'!E57</f>
        <v>3161.145</v>
      </c>
      <c r="D56" s="299">
        <f t="shared" si="3"/>
        <v>3346.2402</v>
      </c>
      <c r="E56" s="299">
        <f>'bieu 54'!I57</f>
        <v>3346.2402</v>
      </c>
      <c r="F56" s="299"/>
      <c r="G56" s="299"/>
      <c r="H56" s="299"/>
      <c r="I56" s="299"/>
      <c r="J56" s="299"/>
      <c r="K56" s="299"/>
      <c r="L56" s="299"/>
      <c r="M56" s="299"/>
      <c r="N56" s="461"/>
      <c r="O56" s="299"/>
      <c r="P56" s="299"/>
      <c r="Q56" s="299"/>
      <c r="R56" s="299"/>
      <c r="S56" s="299"/>
      <c r="T56" s="331"/>
      <c r="U56" s="332"/>
    </row>
    <row r="57" spans="1:21" s="49" customFormat="1" ht="30" customHeight="1">
      <c r="A57" s="32">
        <v>47</v>
      </c>
      <c r="B57" s="510" t="s">
        <v>604</v>
      </c>
      <c r="C57" s="299">
        <f>'bieu 54'!E58</f>
        <v>2338.615</v>
      </c>
      <c r="D57" s="299">
        <f t="shared" si="3"/>
        <v>2733.891</v>
      </c>
      <c r="E57" s="299">
        <f>'bieu 54'!I58</f>
        <v>2733.891</v>
      </c>
      <c r="F57" s="299"/>
      <c r="G57" s="299"/>
      <c r="H57" s="299"/>
      <c r="I57" s="299"/>
      <c r="J57" s="299"/>
      <c r="K57" s="299"/>
      <c r="L57" s="299"/>
      <c r="M57" s="299"/>
      <c r="N57" s="461"/>
      <c r="O57" s="299"/>
      <c r="P57" s="299"/>
      <c r="Q57" s="299"/>
      <c r="R57" s="299"/>
      <c r="S57" s="299"/>
      <c r="T57" s="331"/>
      <c r="U57" s="332"/>
    </row>
    <row r="58" spans="1:21" s="49" customFormat="1" ht="30" customHeight="1">
      <c r="A58" s="32">
        <v>48</v>
      </c>
      <c r="B58" s="510" t="s">
        <v>605</v>
      </c>
      <c r="C58" s="299">
        <f>'bieu 54'!E59</f>
        <v>2699.195</v>
      </c>
      <c r="D58" s="299">
        <f t="shared" si="3"/>
        <v>3184.34</v>
      </c>
      <c r="E58" s="299">
        <f>'bieu 54'!I59</f>
        <v>3184.34</v>
      </c>
      <c r="F58" s="299"/>
      <c r="G58" s="299"/>
      <c r="H58" s="299"/>
      <c r="I58" s="299"/>
      <c r="J58" s="299"/>
      <c r="K58" s="299"/>
      <c r="L58" s="299"/>
      <c r="M58" s="299"/>
      <c r="N58" s="461"/>
      <c r="O58" s="299"/>
      <c r="P58" s="299"/>
      <c r="Q58" s="299"/>
      <c r="R58" s="299"/>
      <c r="S58" s="299"/>
      <c r="T58" s="331"/>
      <c r="U58" s="332"/>
    </row>
    <row r="59" spans="1:21" s="49" customFormat="1" ht="30" customHeight="1">
      <c r="A59" s="32">
        <v>49</v>
      </c>
      <c r="B59" s="510" t="s">
        <v>606</v>
      </c>
      <c r="C59" s="299">
        <f>'bieu 54'!E60</f>
        <v>7090.54</v>
      </c>
      <c r="D59" s="299">
        <f t="shared" si="3"/>
        <v>7612.689654</v>
      </c>
      <c r="E59" s="299">
        <f>'bieu 54'!I60</f>
        <v>7612.689654</v>
      </c>
      <c r="F59" s="299"/>
      <c r="G59" s="299"/>
      <c r="H59" s="299"/>
      <c r="I59" s="299"/>
      <c r="J59" s="299"/>
      <c r="K59" s="299"/>
      <c r="L59" s="299"/>
      <c r="M59" s="299"/>
      <c r="N59" s="461"/>
      <c r="O59" s="299"/>
      <c r="P59" s="299"/>
      <c r="Q59" s="299"/>
      <c r="R59" s="299"/>
      <c r="S59" s="299"/>
      <c r="T59" s="331"/>
      <c r="U59" s="332"/>
    </row>
    <row r="60" spans="1:21" s="49" customFormat="1" ht="30" customHeight="1">
      <c r="A60" s="32">
        <v>50</v>
      </c>
      <c r="B60" s="510" t="s">
        <v>607</v>
      </c>
      <c r="C60" s="299">
        <f>'bieu 54'!E61</f>
        <v>6427.452</v>
      </c>
      <c r="D60" s="299">
        <f t="shared" si="3"/>
        <v>6943.7967</v>
      </c>
      <c r="E60" s="299">
        <f>'bieu 54'!I61</f>
        <v>6943.7967</v>
      </c>
      <c r="F60" s="299"/>
      <c r="G60" s="299"/>
      <c r="H60" s="299"/>
      <c r="I60" s="299"/>
      <c r="J60" s="299"/>
      <c r="K60" s="299"/>
      <c r="L60" s="299"/>
      <c r="M60" s="299"/>
      <c r="N60" s="461"/>
      <c r="O60" s="299"/>
      <c r="P60" s="299"/>
      <c r="Q60" s="299"/>
      <c r="R60" s="299"/>
      <c r="S60" s="299"/>
      <c r="T60" s="331"/>
      <c r="U60" s="332"/>
    </row>
    <row r="61" spans="1:21" s="49" customFormat="1" ht="30" customHeight="1">
      <c r="A61" s="32">
        <v>51</v>
      </c>
      <c r="B61" s="510" t="s">
        <v>608</v>
      </c>
      <c r="C61" s="299">
        <f>'bieu 54'!E62</f>
        <v>4118.6</v>
      </c>
      <c r="D61" s="299">
        <f t="shared" si="3"/>
        <v>4697.275</v>
      </c>
      <c r="E61" s="299">
        <f>'bieu 54'!I62</f>
        <v>4697.275</v>
      </c>
      <c r="F61" s="299"/>
      <c r="G61" s="299"/>
      <c r="H61" s="299"/>
      <c r="I61" s="299"/>
      <c r="J61" s="299"/>
      <c r="K61" s="299"/>
      <c r="L61" s="299"/>
      <c r="M61" s="299"/>
      <c r="N61" s="461"/>
      <c r="O61" s="299"/>
      <c r="P61" s="299"/>
      <c r="Q61" s="299"/>
      <c r="R61" s="299"/>
      <c r="S61" s="299"/>
      <c r="T61" s="331"/>
      <c r="U61" s="332"/>
    </row>
    <row r="62" spans="1:21" s="49" customFormat="1" ht="30" customHeight="1">
      <c r="A62" s="32">
        <v>52</v>
      </c>
      <c r="B62" s="510" t="s">
        <v>609</v>
      </c>
      <c r="C62" s="299">
        <f>'bieu 54'!E63</f>
        <v>7927.113</v>
      </c>
      <c r="D62" s="299">
        <f t="shared" si="3"/>
        <v>8860.019</v>
      </c>
      <c r="E62" s="299">
        <f>'bieu 54'!I63</f>
        <v>8860.019</v>
      </c>
      <c r="F62" s="299"/>
      <c r="G62" s="299"/>
      <c r="H62" s="299"/>
      <c r="I62" s="299"/>
      <c r="J62" s="299"/>
      <c r="K62" s="299"/>
      <c r="L62" s="299"/>
      <c r="M62" s="299"/>
      <c r="N62" s="461"/>
      <c r="O62" s="299"/>
      <c r="P62" s="299"/>
      <c r="Q62" s="299"/>
      <c r="R62" s="299"/>
      <c r="S62" s="299"/>
      <c r="T62" s="331"/>
      <c r="U62" s="332"/>
    </row>
    <row r="63" spans="1:21" s="49" customFormat="1" ht="30" customHeight="1">
      <c r="A63" s="32">
        <v>53</v>
      </c>
      <c r="B63" s="510" t="s">
        <v>610</v>
      </c>
      <c r="C63" s="299">
        <f>'bieu 54'!E64</f>
        <v>6356.822</v>
      </c>
      <c r="D63" s="299">
        <f t="shared" si="3"/>
        <v>7079.626</v>
      </c>
      <c r="E63" s="299">
        <f>'bieu 54'!I64</f>
        <v>7079.626</v>
      </c>
      <c r="F63" s="299"/>
      <c r="G63" s="299"/>
      <c r="H63" s="299"/>
      <c r="I63" s="299"/>
      <c r="J63" s="299"/>
      <c r="K63" s="299"/>
      <c r="L63" s="299"/>
      <c r="M63" s="299"/>
      <c r="N63" s="461"/>
      <c r="O63" s="299"/>
      <c r="P63" s="299"/>
      <c r="Q63" s="299"/>
      <c r="R63" s="299"/>
      <c r="S63" s="299"/>
      <c r="T63" s="331"/>
      <c r="U63" s="332"/>
    </row>
    <row r="64" spans="1:21" s="49" customFormat="1" ht="30" customHeight="1">
      <c r="A64" s="32">
        <v>54</v>
      </c>
      <c r="B64" s="510" t="s">
        <v>611</v>
      </c>
      <c r="C64" s="299">
        <f>'bieu 54'!E65</f>
        <v>3731.93</v>
      </c>
      <c r="D64" s="299">
        <f t="shared" si="3"/>
        <v>4219.03647</v>
      </c>
      <c r="E64" s="299">
        <f>'bieu 54'!I65</f>
        <v>4219.03647</v>
      </c>
      <c r="F64" s="299"/>
      <c r="G64" s="299"/>
      <c r="H64" s="299"/>
      <c r="I64" s="299"/>
      <c r="J64" s="299"/>
      <c r="K64" s="299"/>
      <c r="L64" s="299"/>
      <c r="M64" s="299"/>
      <c r="N64" s="461"/>
      <c r="O64" s="299"/>
      <c r="P64" s="299"/>
      <c r="Q64" s="299"/>
      <c r="R64" s="299"/>
      <c r="S64" s="299"/>
      <c r="T64" s="331"/>
      <c r="U64" s="332"/>
    </row>
    <row r="65" spans="1:21" s="49" customFormat="1" ht="30" customHeight="1">
      <c r="A65" s="32">
        <v>55</v>
      </c>
      <c r="B65" s="510" t="s">
        <v>612</v>
      </c>
      <c r="C65" s="299">
        <f>'bieu 54'!E66</f>
        <v>3432.612</v>
      </c>
      <c r="D65" s="299">
        <f t="shared" si="3"/>
        <v>3698.583</v>
      </c>
      <c r="E65" s="299">
        <f>'bieu 54'!I66</f>
        <v>3698.583</v>
      </c>
      <c r="F65" s="299"/>
      <c r="G65" s="299"/>
      <c r="H65" s="299"/>
      <c r="I65" s="299"/>
      <c r="J65" s="299"/>
      <c r="K65" s="299"/>
      <c r="L65" s="299"/>
      <c r="M65" s="299"/>
      <c r="N65" s="461"/>
      <c r="O65" s="299"/>
      <c r="P65" s="299"/>
      <c r="Q65" s="299"/>
      <c r="R65" s="299"/>
      <c r="S65" s="299"/>
      <c r="T65" s="331"/>
      <c r="U65" s="332"/>
    </row>
    <row r="66" spans="1:21" s="49" customFormat="1" ht="30" customHeight="1">
      <c r="A66" s="32">
        <v>56</v>
      </c>
      <c r="B66" s="510" t="s">
        <v>613</v>
      </c>
      <c r="C66" s="299">
        <f>'bieu 54'!E67</f>
        <v>8354.002</v>
      </c>
      <c r="D66" s="299">
        <f t="shared" si="3"/>
        <v>9752.176594</v>
      </c>
      <c r="E66" s="299">
        <f>'bieu 54'!I67</f>
        <v>9752.176594</v>
      </c>
      <c r="F66" s="299"/>
      <c r="G66" s="299"/>
      <c r="H66" s="299"/>
      <c r="I66" s="299"/>
      <c r="J66" s="299"/>
      <c r="K66" s="299"/>
      <c r="L66" s="299"/>
      <c r="M66" s="299"/>
      <c r="N66" s="461"/>
      <c r="O66" s="299"/>
      <c r="P66" s="299"/>
      <c r="Q66" s="299"/>
      <c r="R66" s="299"/>
      <c r="S66" s="299"/>
      <c r="T66" s="331"/>
      <c r="U66" s="332"/>
    </row>
    <row r="67" spans="1:21" s="49" customFormat="1" ht="30" customHeight="1">
      <c r="A67" s="32">
        <v>57</v>
      </c>
      <c r="B67" s="510" t="s">
        <v>614</v>
      </c>
      <c r="C67" s="299">
        <f>'bieu 54'!E68</f>
        <v>4389.619</v>
      </c>
      <c r="D67" s="299">
        <f t="shared" si="3"/>
        <v>4699.00071</v>
      </c>
      <c r="E67" s="299">
        <f>'bieu 54'!I68</f>
        <v>4699.00071</v>
      </c>
      <c r="F67" s="299"/>
      <c r="G67" s="299"/>
      <c r="H67" s="299"/>
      <c r="I67" s="299"/>
      <c r="J67" s="299"/>
      <c r="K67" s="299"/>
      <c r="L67" s="299"/>
      <c r="M67" s="299"/>
      <c r="N67" s="461"/>
      <c r="O67" s="299"/>
      <c r="P67" s="299"/>
      <c r="Q67" s="299"/>
      <c r="R67" s="299"/>
      <c r="S67" s="299"/>
      <c r="T67" s="331"/>
      <c r="U67" s="332"/>
    </row>
    <row r="68" spans="1:21" s="49" customFormat="1" ht="30" customHeight="1">
      <c r="A68" s="32">
        <v>58</v>
      </c>
      <c r="B68" s="510" t="s">
        <v>615</v>
      </c>
      <c r="C68" s="299">
        <f>'bieu 54'!E69</f>
        <v>3293.015</v>
      </c>
      <c r="D68" s="299">
        <f t="shared" si="3"/>
        <v>3534.675</v>
      </c>
      <c r="E68" s="299">
        <f>'bieu 54'!I69</f>
        <v>3534.675</v>
      </c>
      <c r="F68" s="299"/>
      <c r="G68" s="299"/>
      <c r="H68" s="299"/>
      <c r="I68" s="299"/>
      <c r="J68" s="299"/>
      <c r="K68" s="299"/>
      <c r="L68" s="299"/>
      <c r="M68" s="299"/>
      <c r="N68" s="461"/>
      <c r="O68" s="299"/>
      <c r="P68" s="299"/>
      <c r="Q68" s="299"/>
      <c r="R68" s="299"/>
      <c r="S68" s="299"/>
      <c r="T68" s="331"/>
      <c r="U68" s="332"/>
    </row>
    <row r="69" spans="1:21" s="49" customFormat="1" ht="30" customHeight="1">
      <c r="A69" s="32">
        <v>59</v>
      </c>
      <c r="B69" s="510" t="s">
        <v>782</v>
      </c>
      <c r="C69" s="299">
        <f>'bieu 54'!E70</f>
        <v>5172.424</v>
      </c>
      <c r="D69" s="299">
        <f>SUM(E69:N69)+Q69+R69+S69</f>
        <v>3438.8197</v>
      </c>
      <c r="E69" s="299">
        <f>'bieu 54'!I70</f>
        <v>3438.8197</v>
      </c>
      <c r="F69" s="299"/>
      <c r="G69" s="299"/>
      <c r="H69" s="299"/>
      <c r="I69" s="299"/>
      <c r="J69" s="299"/>
      <c r="K69" s="299"/>
      <c r="L69" s="299"/>
      <c r="M69" s="299"/>
      <c r="N69" s="461"/>
      <c r="O69" s="299"/>
      <c r="P69" s="299"/>
      <c r="Q69" s="299"/>
      <c r="R69" s="299"/>
      <c r="S69" s="299"/>
      <c r="T69" s="331"/>
      <c r="U69" s="332"/>
    </row>
    <row r="70" spans="1:21" s="49" customFormat="1" ht="30" customHeight="1">
      <c r="A70" s="32">
        <v>60</v>
      </c>
      <c r="B70" s="510" t="s">
        <v>616</v>
      </c>
      <c r="C70" s="299">
        <f>'bieu 54'!E71</f>
        <v>5080.8</v>
      </c>
      <c r="D70" s="299">
        <f>SUM(E70:N70)+Q70+R70+S70</f>
        <v>5466.09</v>
      </c>
      <c r="E70" s="299">
        <f>'bieu 54'!I71</f>
        <v>5466.09</v>
      </c>
      <c r="F70" s="299"/>
      <c r="G70" s="299"/>
      <c r="H70" s="299"/>
      <c r="I70" s="299"/>
      <c r="J70" s="299"/>
      <c r="K70" s="299"/>
      <c r="L70" s="299"/>
      <c r="M70" s="299"/>
      <c r="N70" s="461"/>
      <c r="O70" s="299"/>
      <c r="P70" s="299"/>
      <c r="Q70" s="299"/>
      <c r="R70" s="299"/>
      <c r="S70" s="299"/>
      <c r="T70" s="331"/>
      <c r="U70" s="332"/>
    </row>
    <row r="71" spans="1:21" s="49" customFormat="1" ht="30" customHeight="1">
      <c r="A71" s="32">
        <v>61</v>
      </c>
      <c r="B71" s="510" t="s">
        <v>617</v>
      </c>
      <c r="C71" s="299">
        <f>'bieu 54'!E72</f>
        <v>3166.748</v>
      </c>
      <c r="D71" s="299">
        <f t="shared" si="3"/>
        <v>3260.730416</v>
      </c>
      <c r="E71" s="299">
        <f>'bieu 54'!I72</f>
        <v>3260.730416</v>
      </c>
      <c r="F71" s="299"/>
      <c r="G71" s="299"/>
      <c r="H71" s="299"/>
      <c r="I71" s="299"/>
      <c r="J71" s="299"/>
      <c r="K71" s="299"/>
      <c r="L71" s="299"/>
      <c r="M71" s="299"/>
      <c r="N71" s="461"/>
      <c r="O71" s="299"/>
      <c r="P71" s="299"/>
      <c r="Q71" s="299"/>
      <c r="R71" s="299"/>
      <c r="S71" s="299"/>
      <c r="T71" s="331"/>
      <c r="U71" s="332"/>
    </row>
    <row r="72" spans="1:21" s="49" customFormat="1" ht="30" customHeight="1">
      <c r="A72" s="32">
        <v>62</v>
      </c>
      <c r="B72" s="510" t="s">
        <v>618</v>
      </c>
      <c r="C72" s="299">
        <f>'bieu 54'!E73</f>
        <v>2976.14</v>
      </c>
      <c r="D72" s="299">
        <f t="shared" si="3"/>
        <v>3351.636</v>
      </c>
      <c r="E72" s="299">
        <f>'bieu 54'!I73</f>
        <v>3351.636</v>
      </c>
      <c r="F72" s="299"/>
      <c r="G72" s="299"/>
      <c r="H72" s="299"/>
      <c r="I72" s="299"/>
      <c r="J72" s="299"/>
      <c r="K72" s="299"/>
      <c r="L72" s="299"/>
      <c r="M72" s="299"/>
      <c r="N72" s="461"/>
      <c r="O72" s="299"/>
      <c r="P72" s="299"/>
      <c r="Q72" s="299"/>
      <c r="R72" s="299"/>
      <c r="S72" s="299"/>
      <c r="T72" s="331"/>
      <c r="U72" s="332"/>
    </row>
    <row r="73" spans="1:21" s="49" customFormat="1" ht="30" customHeight="1">
      <c r="A73" s="32">
        <v>63</v>
      </c>
      <c r="B73" s="510" t="s">
        <v>619</v>
      </c>
      <c r="C73" s="299">
        <f>'bieu 54'!E74</f>
        <v>9055.37</v>
      </c>
      <c r="D73" s="299">
        <f t="shared" si="3"/>
        <v>9925.050049</v>
      </c>
      <c r="E73" s="299">
        <f>'bieu 54'!I74</f>
        <v>9925.050049</v>
      </c>
      <c r="F73" s="299"/>
      <c r="G73" s="299"/>
      <c r="H73" s="299"/>
      <c r="I73" s="299"/>
      <c r="J73" s="299"/>
      <c r="K73" s="299"/>
      <c r="L73" s="299"/>
      <c r="M73" s="299"/>
      <c r="N73" s="461"/>
      <c r="O73" s="299"/>
      <c r="P73" s="299"/>
      <c r="Q73" s="299"/>
      <c r="R73" s="299"/>
      <c r="S73" s="299"/>
      <c r="T73" s="331"/>
      <c r="U73" s="332"/>
    </row>
    <row r="74" spans="1:21" s="49" customFormat="1" ht="30" customHeight="1">
      <c r="A74" s="32">
        <v>64</v>
      </c>
      <c r="B74" s="510" t="s">
        <v>620</v>
      </c>
      <c r="C74" s="299">
        <f>'bieu 54'!E75</f>
        <v>4994.85</v>
      </c>
      <c r="D74" s="299">
        <f t="shared" si="3"/>
        <v>5798.195</v>
      </c>
      <c r="E74" s="299">
        <f>'bieu 54'!I75</f>
        <v>5798.195</v>
      </c>
      <c r="F74" s="299"/>
      <c r="G74" s="299"/>
      <c r="H74" s="299"/>
      <c r="I74" s="299"/>
      <c r="J74" s="299"/>
      <c r="K74" s="299"/>
      <c r="L74" s="299"/>
      <c r="M74" s="299"/>
      <c r="N74" s="461"/>
      <c r="O74" s="299"/>
      <c r="P74" s="299"/>
      <c r="Q74" s="299"/>
      <c r="R74" s="299"/>
      <c r="S74" s="299"/>
      <c r="T74" s="331"/>
      <c r="U74" s="332"/>
    </row>
    <row r="75" spans="1:21" s="49" customFormat="1" ht="30" customHeight="1">
      <c r="A75" s="32">
        <v>65</v>
      </c>
      <c r="B75" s="510" t="s">
        <v>621</v>
      </c>
      <c r="C75" s="299">
        <f>'bieu 54'!E76</f>
        <v>3171.12</v>
      </c>
      <c r="D75" s="299">
        <f t="shared" si="3"/>
        <v>3456.815899</v>
      </c>
      <c r="E75" s="299">
        <f>'bieu 54'!I76</f>
        <v>3456.815899</v>
      </c>
      <c r="F75" s="299"/>
      <c r="G75" s="299"/>
      <c r="H75" s="299"/>
      <c r="I75" s="299"/>
      <c r="J75" s="299"/>
      <c r="K75" s="299"/>
      <c r="L75" s="299"/>
      <c r="M75" s="299"/>
      <c r="N75" s="461"/>
      <c r="O75" s="299"/>
      <c r="P75" s="299"/>
      <c r="Q75" s="299"/>
      <c r="R75" s="299"/>
      <c r="S75" s="299"/>
      <c r="T75" s="331"/>
      <c r="U75" s="332"/>
    </row>
    <row r="76" spans="1:21" s="49" customFormat="1" ht="30" customHeight="1">
      <c r="A76" s="32">
        <v>66</v>
      </c>
      <c r="B76" s="510" t="s">
        <v>622</v>
      </c>
      <c r="C76" s="299">
        <f>'bieu 54'!E77</f>
        <v>4013.41</v>
      </c>
      <c r="D76" s="299">
        <f t="shared" si="3"/>
        <v>4650.788</v>
      </c>
      <c r="E76" s="299">
        <f>'bieu 54'!I77</f>
        <v>4650.788</v>
      </c>
      <c r="F76" s="299"/>
      <c r="G76" s="299"/>
      <c r="H76" s="299"/>
      <c r="I76" s="299"/>
      <c r="J76" s="299"/>
      <c r="K76" s="299"/>
      <c r="L76" s="299"/>
      <c r="M76" s="299"/>
      <c r="N76" s="461"/>
      <c r="O76" s="299"/>
      <c r="P76" s="299"/>
      <c r="Q76" s="299"/>
      <c r="R76" s="299"/>
      <c r="S76" s="299"/>
      <c r="T76" s="331"/>
      <c r="U76" s="332"/>
    </row>
    <row r="77" spans="1:21" s="49" customFormat="1" ht="30" customHeight="1">
      <c r="A77" s="32">
        <v>67</v>
      </c>
      <c r="B77" s="510" t="s">
        <v>624</v>
      </c>
      <c r="C77" s="299">
        <f>'bieu 54'!E78</f>
        <v>4704.43</v>
      </c>
      <c r="D77" s="299">
        <f aca="true" t="shared" si="4" ref="D77:D107">SUM(E77:N77)+Q77+R77+S77</f>
        <v>5248.576</v>
      </c>
      <c r="E77" s="299">
        <f>'bieu 54'!I78</f>
        <v>5248.576</v>
      </c>
      <c r="F77" s="299"/>
      <c r="G77" s="299"/>
      <c r="H77" s="299"/>
      <c r="I77" s="299"/>
      <c r="J77" s="299"/>
      <c r="K77" s="299"/>
      <c r="L77" s="299"/>
      <c r="M77" s="299"/>
      <c r="N77" s="461"/>
      <c r="O77" s="299"/>
      <c r="P77" s="299"/>
      <c r="Q77" s="299"/>
      <c r="R77" s="299"/>
      <c r="S77" s="299"/>
      <c r="T77" s="331"/>
      <c r="U77" s="332"/>
    </row>
    <row r="78" spans="1:21" s="49" customFormat="1" ht="30" customHeight="1">
      <c r="A78" s="32">
        <v>68</v>
      </c>
      <c r="B78" s="510" t="s">
        <v>322</v>
      </c>
      <c r="C78" s="299">
        <f>'bieu 54'!E79</f>
        <v>3615.202</v>
      </c>
      <c r="D78" s="299">
        <f t="shared" si="4"/>
        <v>4232.7815</v>
      </c>
      <c r="E78" s="299">
        <f>'bieu 54'!I79</f>
        <v>4232.7815</v>
      </c>
      <c r="F78" s="299"/>
      <c r="G78" s="299"/>
      <c r="H78" s="299"/>
      <c r="I78" s="299"/>
      <c r="J78" s="299"/>
      <c r="K78" s="299"/>
      <c r="L78" s="299"/>
      <c r="M78" s="299"/>
      <c r="N78" s="461"/>
      <c r="O78" s="299"/>
      <c r="P78" s="299"/>
      <c r="Q78" s="299"/>
      <c r="R78" s="299"/>
      <c r="S78" s="299"/>
      <c r="T78" s="331">
        <f aca="true" t="shared" si="5" ref="T78:T97">D78/C78*100</f>
        <v>117.08284903582151</v>
      </c>
      <c r="U78" s="332"/>
    </row>
    <row r="79" spans="1:21" s="49" customFormat="1" ht="30" customHeight="1">
      <c r="A79" s="32">
        <v>69</v>
      </c>
      <c r="B79" s="510" t="s">
        <v>323</v>
      </c>
      <c r="C79" s="299">
        <f>'bieu 54'!E80</f>
        <v>3343.455</v>
      </c>
      <c r="D79" s="299">
        <f t="shared" si="4"/>
        <v>3709.0685</v>
      </c>
      <c r="E79" s="299">
        <f>'bieu 54'!I80</f>
        <v>3709.0685</v>
      </c>
      <c r="F79" s="299"/>
      <c r="G79" s="299"/>
      <c r="H79" s="299"/>
      <c r="I79" s="299"/>
      <c r="J79" s="299"/>
      <c r="K79" s="299"/>
      <c r="L79" s="299"/>
      <c r="M79" s="299"/>
      <c r="N79" s="461"/>
      <c r="O79" s="299"/>
      <c r="P79" s="299"/>
      <c r="Q79" s="299"/>
      <c r="R79" s="299"/>
      <c r="S79" s="299"/>
      <c r="T79" s="331">
        <f t="shared" si="5"/>
        <v>110.93520026439717</v>
      </c>
      <c r="U79" s="332"/>
    </row>
    <row r="80" spans="1:21" s="49" customFormat="1" ht="30" customHeight="1">
      <c r="A80" s="32">
        <v>70</v>
      </c>
      <c r="B80" s="510" t="s">
        <v>324</v>
      </c>
      <c r="C80" s="299">
        <f>'bieu 54'!E81</f>
        <v>7392.488</v>
      </c>
      <c r="D80" s="299">
        <f t="shared" si="4"/>
        <v>7985.923</v>
      </c>
      <c r="E80" s="299">
        <f>'bieu 54'!I81</f>
        <v>7985.923</v>
      </c>
      <c r="F80" s="299"/>
      <c r="G80" s="299"/>
      <c r="H80" s="299"/>
      <c r="I80" s="299"/>
      <c r="J80" s="299"/>
      <c r="K80" s="299"/>
      <c r="L80" s="299"/>
      <c r="M80" s="299"/>
      <c r="N80" s="461"/>
      <c r="O80" s="299"/>
      <c r="P80" s="299"/>
      <c r="Q80" s="299"/>
      <c r="R80" s="299"/>
      <c r="S80" s="299"/>
      <c r="T80" s="331">
        <f t="shared" si="5"/>
        <v>108.0275409307394</v>
      </c>
      <c r="U80" s="332"/>
    </row>
    <row r="81" spans="1:21" s="49" customFormat="1" ht="30" customHeight="1">
      <c r="A81" s="32">
        <v>71</v>
      </c>
      <c r="B81" s="510" t="s">
        <v>325</v>
      </c>
      <c r="C81" s="299">
        <f>'bieu 54'!E82</f>
        <v>5211.398</v>
      </c>
      <c r="D81" s="299">
        <f t="shared" si="4"/>
        <v>5654.262</v>
      </c>
      <c r="E81" s="299">
        <f>'bieu 54'!I82</f>
        <v>5654.262</v>
      </c>
      <c r="F81" s="299"/>
      <c r="G81" s="299"/>
      <c r="H81" s="299"/>
      <c r="I81" s="299"/>
      <c r="J81" s="299"/>
      <c r="K81" s="299"/>
      <c r="L81" s="299"/>
      <c r="M81" s="299"/>
      <c r="N81" s="461"/>
      <c r="O81" s="299"/>
      <c r="P81" s="299"/>
      <c r="Q81" s="299"/>
      <c r="R81" s="299"/>
      <c r="S81" s="299"/>
      <c r="T81" s="331">
        <f t="shared" si="5"/>
        <v>108.4979884476296</v>
      </c>
      <c r="U81" s="332"/>
    </row>
    <row r="82" spans="1:21" s="49" customFormat="1" ht="30" customHeight="1">
      <c r="A82" s="32">
        <v>72</v>
      </c>
      <c r="B82" s="510" t="s">
        <v>326</v>
      </c>
      <c r="C82" s="299">
        <f>'bieu 54'!E83</f>
        <v>3860.415</v>
      </c>
      <c r="D82" s="299">
        <f t="shared" si="4"/>
        <v>4248.745</v>
      </c>
      <c r="E82" s="299">
        <f>'bieu 54'!I83</f>
        <v>4248.745</v>
      </c>
      <c r="F82" s="299"/>
      <c r="G82" s="299"/>
      <c r="H82" s="299"/>
      <c r="I82" s="299"/>
      <c r="J82" s="299"/>
      <c r="K82" s="299"/>
      <c r="L82" s="299"/>
      <c r="M82" s="299"/>
      <c r="N82" s="461"/>
      <c r="O82" s="299"/>
      <c r="P82" s="299"/>
      <c r="Q82" s="299"/>
      <c r="R82" s="299"/>
      <c r="S82" s="299"/>
      <c r="T82" s="331">
        <f t="shared" si="5"/>
        <v>110.05928119127088</v>
      </c>
      <c r="U82" s="332"/>
    </row>
    <row r="83" spans="1:21" s="49" customFormat="1" ht="30" customHeight="1">
      <c r="A83" s="32">
        <v>73</v>
      </c>
      <c r="B83" s="510" t="s">
        <v>327</v>
      </c>
      <c r="C83" s="299">
        <f>'bieu 54'!E84</f>
        <v>3582.315</v>
      </c>
      <c r="D83" s="299">
        <f t="shared" si="4"/>
        <v>4007.0055</v>
      </c>
      <c r="E83" s="299">
        <f>'bieu 54'!I84</f>
        <v>4007.0055</v>
      </c>
      <c r="F83" s="299"/>
      <c r="G83" s="299"/>
      <c r="H83" s="299"/>
      <c r="I83" s="299"/>
      <c r="J83" s="299"/>
      <c r="K83" s="299"/>
      <c r="L83" s="299"/>
      <c r="M83" s="299"/>
      <c r="N83" s="461"/>
      <c r="O83" s="299"/>
      <c r="P83" s="299"/>
      <c r="Q83" s="461"/>
      <c r="R83" s="299"/>
      <c r="S83" s="299"/>
      <c r="T83" s="331">
        <f t="shared" si="5"/>
        <v>111.85519698853955</v>
      </c>
      <c r="U83" s="332"/>
    </row>
    <row r="84" spans="1:21" s="49" customFormat="1" ht="30" customHeight="1">
      <c r="A84" s="32">
        <v>74</v>
      </c>
      <c r="B84" s="510" t="s">
        <v>328</v>
      </c>
      <c r="C84" s="299">
        <f>'bieu 54'!E85</f>
        <v>4250.216</v>
      </c>
      <c r="D84" s="299">
        <f t="shared" si="4"/>
        <v>4977.894334</v>
      </c>
      <c r="E84" s="299">
        <f>'bieu 54'!I85</f>
        <v>4977.894334</v>
      </c>
      <c r="F84" s="299"/>
      <c r="G84" s="299"/>
      <c r="H84" s="299"/>
      <c r="I84" s="299"/>
      <c r="J84" s="299"/>
      <c r="K84" s="299"/>
      <c r="L84" s="299"/>
      <c r="M84" s="299"/>
      <c r="N84" s="461"/>
      <c r="O84" s="299"/>
      <c r="P84" s="299"/>
      <c r="Q84" s="299"/>
      <c r="R84" s="299"/>
      <c r="S84" s="299"/>
      <c r="T84" s="331">
        <f t="shared" si="5"/>
        <v>117.12097300466611</v>
      </c>
      <c r="U84" s="332"/>
    </row>
    <row r="85" spans="1:21" s="49" customFormat="1" ht="30" customHeight="1">
      <c r="A85" s="32">
        <v>75</v>
      </c>
      <c r="B85" s="510" t="str">
        <f>'bieu 54'!B86</f>
        <v>Trường THCS xã Tân Thành</v>
      </c>
      <c r="C85" s="299">
        <f>'bieu 54'!E86</f>
        <v>3185.488</v>
      </c>
      <c r="D85" s="299">
        <f t="shared" si="4"/>
        <v>1976.7599</v>
      </c>
      <c r="E85" s="299">
        <f>'bieu 54'!I86</f>
        <v>1976.7599</v>
      </c>
      <c r="F85" s="299"/>
      <c r="G85" s="299"/>
      <c r="H85" s="299"/>
      <c r="I85" s="299"/>
      <c r="J85" s="299"/>
      <c r="K85" s="299"/>
      <c r="L85" s="299"/>
      <c r="M85" s="299"/>
      <c r="N85" s="461"/>
      <c r="O85" s="299"/>
      <c r="P85" s="299"/>
      <c r="Q85" s="299"/>
      <c r="R85" s="299"/>
      <c r="S85" s="299"/>
      <c r="T85" s="331">
        <f t="shared" si="5"/>
        <v>62.055167057606255</v>
      </c>
      <c r="U85" s="332"/>
    </row>
    <row r="86" spans="1:21" s="49" customFormat="1" ht="30" customHeight="1">
      <c r="A86" s="32">
        <v>76</v>
      </c>
      <c r="B86" s="510" t="s">
        <v>726</v>
      </c>
      <c r="C86" s="299">
        <f>'bieu 54'!E87</f>
        <v>0</v>
      </c>
      <c r="D86" s="299">
        <f t="shared" si="4"/>
        <v>3340.6424</v>
      </c>
      <c r="E86" s="299">
        <f>'bieu 54'!I87</f>
        <v>3340.6424</v>
      </c>
      <c r="F86" s="299"/>
      <c r="G86" s="299"/>
      <c r="H86" s="299"/>
      <c r="I86" s="299"/>
      <c r="J86" s="299"/>
      <c r="K86" s="299"/>
      <c r="L86" s="299"/>
      <c r="M86" s="299"/>
      <c r="N86" s="461"/>
      <c r="O86" s="299"/>
      <c r="P86" s="299"/>
      <c r="Q86" s="299"/>
      <c r="R86" s="299"/>
      <c r="S86" s="299"/>
      <c r="T86" s="331" t="e">
        <f t="shared" si="5"/>
        <v>#DIV/0!</v>
      </c>
      <c r="U86" s="332"/>
    </row>
    <row r="87" spans="1:21" s="49" customFormat="1" ht="30" customHeight="1">
      <c r="A87" s="32">
        <v>77</v>
      </c>
      <c r="B87" s="510" t="s">
        <v>330</v>
      </c>
      <c r="C87" s="299">
        <f>'bieu 54'!E88</f>
        <v>2602.475</v>
      </c>
      <c r="D87" s="299">
        <f t="shared" si="4"/>
        <v>2922.189</v>
      </c>
      <c r="E87" s="299">
        <f>'bieu 54'!I88</f>
        <v>2922.189</v>
      </c>
      <c r="F87" s="299"/>
      <c r="G87" s="299"/>
      <c r="H87" s="299"/>
      <c r="I87" s="299"/>
      <c r="J87" s="299"/>
      <c r="K87" s="299"/>
      <c r="L87" s="299"/>
      <c r="M87" s="299"/>
      <c r="N87" s="461"/>
      <c r="O87" s="299"/>
      <c r="P87" s="299"/>
      <c r="Q87" s="299"/>
      <c r="R87" s="299"/>
      <c r="S87" s="299"/>
      <c r="T87" s="331">
        <f t="shared" si="5"/>
        <v>112.28499793465836</v>
      </c>
      <c r="U87" s="332"/>
    </row>
    <row r="88" spans="1:23" s="49" customFormat="1" ht="30" customHeight="1">
      <c r="A88" s="32">
        <v>78</v>
      </c>
      <c r="B88" s="510" t="s">
        <v>331</v>
      </c>
      <c r="C88" s="299">
        <f>'bieu 54'!E89</f>
        <v>5771.454</v>
      </c>
      <c r="D88" s="299">
        <f t="shared" si="4"/>
        <v>6501.885</v>
      </c>
      <c r="E88" s="299">
        <f>'bieu 54'!I89</f>
        <v>6501.885</v>
      </c>
      <c r="F88" s="299"/>
      <c r="G88" s="299"/>
      <c r="H88" s="299"/>
      <c r="I88" s="299"/>
      <c r="J88" s="299"/>
      <c r="K88" s="299"/>
      <c r="L88" s="299"/>
      <c r="M88" s="299"/>
      <c r="N88" s="461"/>
      <c r="O88" s="299"/>
      <c r="P88" s="50"/>
      <c r="Q88" s="299"/>
      <c r="R88" s="299"/>
      <c r="S88" s="299"/>
      <c r="T88" s="331">
        <f t="shared" si="5"/>
        <v>112.65592691200519</v>
      </c>
      <c r="U88" s="332"/>
      <c r="V88" s="332"/>
      <c r="W88" s="332"/>
    </row>
    <row r="89" spans="1:23" s="49" customFormat="1" ht="30" customHeight="1">
      <c r="A89" s="32">
        <v>79</v>
      </c>
      <c r="B89" s="510" t="s">
        <v>332</v>
      </c>
      <c r="C89" s="299">
        <f>'bieu 54'!E90</f>
        <v>2744.825</v>
      </c>
      <c r="D89" s="299">
        <f t="shared" si="4"/>
        <v>3315.4175</v>
      </c>
      <c r="E89" s="299">
        <f>'bieu 54'!I90</f>
        <v>3315.4175</v>
      </c>
      <c r="F89" s="299"/>
      <c r="G89" s="299"/>
      <c r="H89" s="299"/>
      <c r="I89" s="299"/>
      <c r="J89" s="299"/>
      <c r="K89" s="299"/>
      <c r="L89" s="299"/>
      <c r="M89" s="299"/>
      <c r="N89" s="461"/>
      <c r="O89" s="299"/>
      <c r="P89" s="299"/>
      <c r="Q89" s="299"/>
      <c r="R89" s="299"/>
      <c r="S89" s="299"/>
      <c r="T89" s="331">
        <f t="shared" si="5"/>
        <v>120.7879373001922</v>
      </c>
      <c r="U89" s="332"/>
      <c r="V89" s="332"/>
      <c r="W89" s="332"/>
    </row>
    <row r="90" spans="1:23" s="49" customFormat="1" ht="30" customHeight="1">
      <c r="A90" s="32">
        <v>80</v>
      </c>
      <c r="B90" s="510" t="s">
        <v>293</v>
      </c>
      <c r="C90" s="299">
        <f>'bieu 54'!E91</f>
        <v>2427.135</v>
      </c>
      <c r="D90" s="299">
        <f t="shared" si="4"/>
        <v>2627.1375</v>
      </c>
      <c r="E90" s="299">
        <f>'bieu 54'!I91</f>
        <v>2627.1375</v>
      </c>
      <c r="F90" s="299"/>
      <c r="G90" s="299"/>
      <c r="H90" s="299"/>
      <c r="I90" s="299"/>
      <c r="J90" s="299"/>
      <c r="K90" s="299"/>
      <c r="L90" s="299"/>
      <c r="M90" s="299"/>
      <c r="N90" s="461"/>
      <c r="O90" s="299"/>
      <c r="P90" s="299"/>
      <c r="Q90" s="299"/>
      <c r="R90" s="299"/>
      <c r="S90" s="299"/>
      <c r="T90" s="331">
        <f t="shared" si="5"/>
        <v>108.24027093672169</v>
      </c>
      <c r="U90" s="332"/>
      <c r="V90" s="332"/>
      <c r="W90" s="332"/>
    </row>
    <row r="91" spans="1:21" s="49" customFormat="1" ht="30" customHeight="1">
      <c r="A91" s="32">
        <v>81</v>
      </c>
      <c r="B91" s="510" t="s">
        <v>485</v>
      </c>
      <c r="C91" s="299">
        <f>'bieu 54'!E92</f>
        <v>5258.484</v>
      </c>
      <c r="D91" s="299">
        <f t="shared" si="4"/>
        <v>6078.018</v>
      </c>
      <c r="E91" s="299">
        <f>'bieu 54'!I92</f>
        <v>6078.018</v>
      </c>
      <c r="F91" s="299"/>
      <c r="G91" s="299"/>
      <c r="H91" s="299"/>
      <c r="I91" s="299"/>
      <c r="J91" s="299"/>
      <c r="K91" s="299"/>
      <c r="L91" s="299"/>
      <c r="M91" s="299"/>
      <c r="N91" s="461"/>
      <c r="O91" s="299"/>
      <c r="P91" s="299"/>
      <c r="Q91" s="299"/>
      <c r="R91" s="299"/>
      <c r="S91" s="299"/>
      <c r="T91" s="331">
        <f t="shared" si="5"/>
        <v>115.58498609104828</v>
      </c>
      <c r="U91" s="332"/>
    </row>
    <row r="92" spans="1:21" s="49" customFormat="1" ht="30" customHeight="1">
      <c r="A92" s="32">
        <v>82</v>
      </c>
      <c r="B92" s="510" t="s">
        <v>333</v>
      </c>
      <c r="C92" s="299">
        <f>'bieu 54'!E93</f>
        <v>4619.245</v>
      </c>
      <c r="D92" s="299">
        <f t="shared" si="4"/>
        <v>5261.5865</v>
      </c>
      <c r="E92" s="299">
        <f>'bieu 54'!I93</f>
        <v>5261.5865</v>
      </c>
      <c r="F92" s="299"/>
      <c r="G92" s="299"/>
      <c r="H92" s="299"/>
      <c r="I92" s="299"/>
      <c r="J92" s="299"/>
      <c r="K92" s="299"/>
      <c r="L92" s="299"/>
      <c r="M92" s="299"/>
      <c r="N92" s="461"/>
      <c r="O92" s="299"/>
      <c r="P92" s="299"/>
      <c r="Q92" s="299"/>
      <c r="R92" s="299"/>
      <c r="S92" s="299"/>
      <c r="T92" s="331">
        <f t="shared" si="5"/>
        <v>113.90576815042286</v>
      </c>
      <c r="U92" s="332"/>
    </row>
    <row r="93" spans="1:21" s="49" customFormat="1" ht="30" customHeight="1">
      <c r="A93" s="32">
        <v>83</v>
      </c>
      <c r="B93" s="510" t="s">
        <v>486</v>
      </c>
      <c r="C93" s="299">
        <f>'bieu 54'!E94</f>
        <v>7578.827</v>
      </c>
      <c r="D93" s="299">
        <f t="shared" si="4"/>
        <v>8579.5785</v>
      </c>
      <c r="E93" s="299">
        <f>'bieu 54'!I94</f>
        <v>8579.5785</v>
      </c>
      <c r="F93" s="299"/>
      <c r="G93" s="299"/>
      <c r="H93" s="299"/>
      <c r="I93" s="299"/>
      <c r="J93" s="299"/>
      <c r="K93" s="299"/>
      <c r="L93" s="299"/>
      <c r="M93" s="299"/>
      <c r="N93" s="461"/>
      <c r="O93" s="299"/>
      <c r="P93" s="299"/>
      <c r="Q93" s="299"/>
      <c r="R93" s="299"/>
      <c r="S93" s="299"/>
      <c r="T93" s="331">
        <f t="shared" si="5"/>
        <v>113.20456978368816</v>
      </c>
      <c r="U93" s="332"/>
    </row>
    <row r="94" spans="1:21" s="158" customFormat="1" ht="30" customHeight="1">
      <c r="A94" s="32">
        <v>84</v>
      </c>
      <c r="B94" s="510" t="s">
        <v>498</v>
      </c>
      <c r="C94" s="299">
        <f>'bieu 54'!E95</f>
        <v>4669.61</v>
      </c>
      <c r="D94" s="299">
        <f t="shared" si="4"/>
        <v>5324.9603</v>
      </c>
      <c r="E94" s="299">
        <f>'bieu 54'!I95</f>
        <v>5324.9603</v>
      </c>
      <c r="F94" s="299"/>
      <c r="G94" s="299"/>
      <c r="H94" s="299"/>
      <c r="I94" s="299"/>
      <c r="J94" s="299"/>
      <c r="K94" s="299"/>
      <c r="L94" s="299"/>
      <c r="M94" s="299"/>
      <c r="N94" s="461"/>
      <c r="O94" s="299"/>
      <c r="P94" s="299"/>
      <c r="Q94" s="299"/>
      <c r="R94" s="299"/>
      <c r="S94" s="299"/>
      <c r="T94" s="331">
        <f t="shared" si="5"/>
        <v>114.03436903724294</v>
      </c>
      <c r="U94" s="332"/>
    </row>
    <row r="95" spans="1:21" s="49" customFormat="1" ht="30" customHeight="1">
      <c r="A95" s="32">
        <v>85</v>
      </c>
      <c r="B95" s="510" t="s">
        <v>623</v>
      </c>
      <c r="C95" s="299">
        <f>'bieu 54'!E96</f>
        <v>2788.99</v>
      </c>
      <c r="D95" s="299">
        <f t="shared" si="4"/>
        <v>3400.414</v>
      </c>
      <c r="E95" s="299">
        <f>'bieu 54'!I96</f>
        <v>3400.414</v>
      </c>
      <c r="F95" s="462"/>
      <c r="G95" s="462"/>
      <c r="H95" s="462"/>
      <c r="I95" s="299"/>
      <c r="J95" s="299"/>
      <c r="K95" s="462"/>
      <c r="L95" s="462"/>
      <c r="M95" s="299"/>
      <c r="N95" s="461"/>
      <c r="O95" s="299"/>
      <c r="P95" s="299"/>
      <c r="Q95" s="299"/>
      <c r="R95" s="462"/>
      <c r="S95" s="299"/>
      <c r="T95" s="331">
        <f t="shared" si="5"/>
        <v>121.92277491134784</v>
      </c>
      <c r="U95" s="332"/>
    </row>
    <row r="96" spans="1:21" s="49" customFormat="1" ht="30" customHeight="1">
      <c r="A96" s="32">
        <v>86</v>
      </c>
      <c r="B96" s="512" t="s">
        <v>463</v>
      </c>
      <c r="C96" s="299">
        <f>'bieu 54'!E97</f>
        <v>1767.82</v>
      </c>
      <c r="D96" s="299">
        <f t="shared" si="4"/>
        <v>3075.288</v>
      </c>
      <c r="E96" s="299"/>
      <c r="F96" s="299"/>
      <c r="G96" s="299">
        <v>3075.288</v>
      </c>
      <c r="H96" s="299"/>
      <c r="I96" s="299"/>
      <c r="J96" s="299"/>
      <c r="K96" s="299"/>
      <c r="L96" s="299"/>
      <c r="M96" s="299"/>
      <c r="N96" s="461"/>
      <c r="O96" s="299"/>
      <c r="P96" s="299"/>
      <c r="Q96" s="299"/>
      <c r="R96" s="299"/>
      <c r="S96" s="299"/>
      <c r="T96" s="331">
        <f t="shared" si="5"/>
        <v>173.95933975178468</v>
      </c>
      <c r="U96" s="332"/>
    </row>
    <row r="97" spans="1:21" s="49" customFormat="1" ht="30" customHeight="1">
      <c r="A97" s="32">
        <v>87</v>
      </c>
      <c r="B97" s="512" t="s">
        <v>428</v>
      </c>
      <c r="C97" s="299">
        <f>'bieu 54'!E98</f>
        <v>1021.48</v>
      </c>
      <c r="D97" s="299">
        <f t="shared" si="4"/>
        <v>2512.8</v>
      </c>
      <c r="E97" s="299"/>
      <c r="F97" s="299"/>
      <c r="G97" s="299"/>
      <c r="H97" s="299">
        <v>2512.8</v>
      </c>
      <c r="I97" s="299"/>
      <c r="J97" s="299"/>
      <c r="K97" s="299"/>
      <c r="L97" s="299"/>
      <c r="M97" s="299"/>
      <c r="N97" s="461"/>
      <c r="O97" s="299"/>
      <c r="P97" s="299"/>
      <c r="Q97" s="299"/>
      <c r="R97" s="299"/>
      <c r="S97" s="299"/>
      <c r="T97" s="331">
        <f t="shared" si="5"/>
        <v>245.9960057955124</v>
      </c>
      <c r="U97" s="332"/>
    </row>
    <row r="98" spans="1:21" s="49" customFormat="1" ht="30" customHeight="1">
      <c r="A98" s="32">
        <v>88</v>
      </c>
      <c r="B98" s="512" t="s">
        <v>429</v>
      </c>
      <c r="C98" s="299">
        <f>'bieu 54'!E99</f>
        <v>0</v>
      </c>
      <c r="D98" s="299">
        <f t="shared" si="4"/>
        <v>716.19</v>
      </c>
      <c r="E98" s="299"/>
      <c r="F98" s="299"/>
      <c r="G98" s="299"/>
      <c r="H98" s="299"/>
      <c r="I98" s="299"/>
      <c r="J98" s="299"/>
      <c r="K98" s="299"/>
      <c r="L98" s="299"/>
      <c r="M98" s="299"/>
      <c r="N98" s="461"/>
      <c r="O98" s="299"/>
      <c r="P98" s="299"/>
      <c r="Q98" s="299"/>
      <c r="R98" s="299"/>
      <c r="S98" s="299">
        <v>716.19</v>
      </c>
      <c r="T98" s="331"/>
      <c r="U98" s="332"/>
    </row>
    <row r="99" spans="1:21" s="49" customFormat="1" ht="30" customHeight="1">
      <c r="A99" s="32">
        <v>89</v>
      </c>
      <c r="B99" s="512" t="s">
        <v>430</v>
      </c>
      <c r="C99" s="299">
        <f>'bieu 54'!E100</f>
        <v>14236.83</v>
      </c>
      <c r="D99" s="299">
        <f t="shared" si="4"/>
        <v>0</v>
      </c>
      <c r="E99" s="299"/>
      <c r="F99" s="299"/>
      <c r="G99" s="299"/>
      <c r="H99" s="299"/>
      <c r="I99" s="299"/>
      <c r="J99" s="299"/>
      <c r="K99" s="299"/>
      <c r="L99" s="299"/>
      <c r="M99" s="299"/>
      <c r="N99" s="461"/>
      <c r="O99" s="299"/>
      <c r="P99" s="299"/>
      <c r="Q99" s="299"/>
      <c r="R99" s="299"/>
      <c r="S99" s="299"/>
      <c r="T99" s="331"/>
      <c r="U99" s="332"/>
    </row>
    <row r="100" spans="1:21" s="49" customFormat="1" ht="30" customHeight="1">
      <c r="A100" s="32">
        <v>90</v>
      </c>
      <c r="B100" s="510" t="s">
        <v>431</v>
      </c>
      <c r="C100" s="299">
        <f>'bieu 54'!E101</f>
        <v>0</v>
      </c>
      <c r="D100" s="299">
        <f t="shared" si="4"/>
        <v>0</v>
      </c>
      <c r="E100" s="299"/>
      <c r="F100" s="299"/>
      <c r="G100" s="299"/>
      <c r="H100" s="299"/>
      <c r="I100" s="299"/>
      <c r="J100" s="299"/>
      <c r="K100" s="299"/>
      <c r="L100" s="299"/>
      <c r="M100" s="299"/>
      <c r="N100" s="461"/>
      <c r="O100" s="299"/>
      <c r="P100" s="299"/>
      <c r="Q100" s="299"/>
      <c r="R100" s="299"/>
      <c r="S100" s="299"/>
      <c r="T100" s="331"/>
      <c r="U100" s="332"/>
    </row>
    <row r="101" spans="1:21" s="49" customFormat="1" ht="30" customHeight="1">
      <c r="A101" s="32">
        <v>91</v>
      </c>
      <c r="B101" s="510" t="s">
        <v>464</v>
      </c>
      <c r="C101" s="299">
        <f>'bieu 54'!E102</f>
        <v>0</v>
      </c>
      <c r="D101" s="299">
        <f t="shared" si="4"/>
        <v>0</v>
      </c>
      <c r="E101" s="299"/>
      <c r="F101" s="299"/>
      <c r="G101" s="299"/>
      <c r="H101" s="299"/>
      <c r="I101" s="299"/>
      <c r="J101" s="299"/>
      <c r="K101" s="299"/>
      <c r="L101" s="299"/>
      <c r="M101" s="299"/>
      <c r="N101" s="299"/>
      <c r="O101" s="463"/>
      <c r="P101" s="463"/>
      <c r="Q101" s="299"/>
      <c r="R101" s="299"/>
      <c r="S101" s="299"/>
      <c r="T101" s="331"/>
      <c r="U101" s="332"/>
    </row>
    <row r="102" spans="1:21" s="49" customFormat="1" ht="30" customHeight="1">
      <c r="A102" s="32">
        <v>92</v>
      </c>
      <c r="B102" s="510" t="s">
        <v>84</v>
      </c>
      <c r="C102" s="299">
        <f>'bieu 54'!E103</f>
        <v>0</v>
      </c>
      <c r="D102" s="299">
        <f t="shared" si="4"/>
        <v>0</v>
      </c>
      <c r="E102" s="299"/>
      <c r="F102" s="299"/>
      <c r="G102" s="299"/>
      <c r="H102" s="299"/>
      <c r="I102" s="299"/>
      <c r="J102" s="299"/>
      <c r="K102" s="299"/>
      <c r="L102" s="299"/>
      <c r="M102" s="299"/>
      <c r="N102" s="299"/>
      <c r="O102" s="463"/>
      <c r="P102" s="463"/>
      <c r="Q102" s="299"/>
      <c r="R102" s="299"/>
      <c r="S102" s="299"/>
      <c r="T102" s="331"/>
      <c r="U102" s="332"/>
    </row>
    <row r="103" spans="1:21" s="49" customFormat="1" ht="30" customHeight="1">
      <c r="A103" s="32">
        <v>93</v>
      </c>
      <c r="B103" s="510" t="s">
        <v>432</v>
      </c>
      <c r="C103" s="299">
        <f>'bieu 54'!E104</f>
        <v>0</v>
      </c>
      <c r="D103" s="299">
        <f t="shared" si="4"/>
        <v>0</v>
      </c>
      <c r="E103" s="299"/>
      <c r="F103" s="299"/>
      <c r="G103" s="299"/>
      <c r="H103" s="299"/>
      <c r="I103" s="299"/>
      <c r="J103" s="299"/>
      <c r="K103" s="299"/>
      <c r="L103" s="299"/>
      <c r="M103" s="299"/>
      <c r="N103" s="299"/>
      <c r="O103" s="463"/>
      <c r="P103" s="463"/>
      <c r="Q103" s="299"/>
      <c r="R103" s="299"/>
      <c r="S103" s="299"/>
      <c r="T103" s="331"/>
      <c r="U103" s="332"/>
    </row>
    <row r="104" spans="1:21" s="49" customFormat="1" ht="30" customHeight="1">
      <c r="A104" s="32">
        <v>94</v>
      </c>
      <c r="B104" s="510" t="s">
        <v>337</v>
      </c>
      <c r="C104" s="299">
        <f>'bieu 54'!E105</f>
        <v>0</v>
      </c>
      <c r="D104" s="299">
        <f t="shared" si="4"/>
        <v>0</v>
      </c>
      <c r="E104" s="299"/>
      <c r="F104" s="299"/>
      <c r="G104" s="299"/>
      <c r="H104" s="299"/>
      <c r="I104" s="299"/>
      <c r="J104" s="299"/>
      <c r="K104" s="299"/>
      <c r="L104" s="299"/>
      <c r="M104" s="299"/>
      <c r="N104" s="299"/>
      <c r="O104" s="463"/>
      <c r="P104" s="463"/>
      <c r="Q104" s="299"/>
      <c r="R104" s="299"/>
      <c r="S104" s="299"/>
      <c r="T104" s="331"/>
      <c r="U104" s="332"/>
    </row>
    <row r="105" spans="1:21" s="49" customFormat="1" ht="30" customHeight="1">
      <c r="A105" s="32">
        <v>95</v>
      </c>
      <c r="B105" s="510" t="s">
        <v>533</v>
      </c>
      <c r="C105" s="299">
        <f>'bieu 54'!E106</f>
        <v>0</v>
      </c>
      <c r="D105" s="299">
        <f t="shared" si="4"/>
        <v>0</v>
      </c>
      <c r="E105" s="299"/>
      <c r="F105" s="299"/>
      <c r="G105" s="299"/>
      <c r="H105" s="299"/>
      <c r="I105" s="299"/>
      <c r="J105" s="299"/>
      <c r="K105" s="299"/>
      <c r="L105" s="299"/>
      <c r="M105" s="299"/>
      <c r="N105" s="299"/>
      <c r="O105" s="463"/>
      <c r="P105" s="463"/>
      <c r="Q105" s="299"/>
      <c r="R105" s="299"/>
      <c r="S105" s="299"/>
      <c r="T105" s="331"/>
      <c r="U105" s="332"/>
    </row>
    <row r="106" spans="1:21" s="49" customFormat="1" ht="30" customHeight="1">
      <c r="A106" s="32">
        <v>96</v>
      </c>
      <c r="B106" s="510" t="s">
        <v>586</v>
      </c>
      <c r="C106" s="299">
        <f>'bieu 54'!E107</f>
        <v>0</v>
      </c>
      <c r="D106" s="299">
        <f t="shared" si="4"/>
        <v>1871.801</v>
      </c>
      <c r="E106" s="299"/>
      <c r="F106" s="299"/>
      <c r="G106" s="299"/>
      <c r="H106" s="299"/>
      <c r="I106" s="299"/>
      <c r="J106" s="299"/>
      <c r="K106" s="299"/>
      <c r="L106" s="299"/>
      <c r="M106" s="299"/>
      <c r="N106" s="299"/>
      <c r="O106" s="463"/>
      <c r="P106" s="463"/>
      <c r="Q106" s="299"/>
      <c r="R106" s="299"/>
      <c r="S106" s="299">
        <v>1871.801</v>
      </c>
      <c r="T106" s="331"/>
      <c r="U106" s="332"/>
    </row>
    <row r="107" spans="1:21" s="49" customFormat="1" ht="30" customHeight="1">
      <c r="A107" s="32">
        <v>97</v>
      </c>
      <c r="B107" s="510" t="s">
        <v>534</v>
      </c>
      <c r="C107" s="299">
        <f>'bieu 54'!E108</f>
        <v>0</v>
      </c>
      <c r="D107" s="299">
        <f t="shared" si="4"/>
        <v>0</v>
      </c>
      <c r="E107" s="299"/>
      <c r="F107" s="299"/>
      <c r="G107" s="299"/>
      <c r="H107" s="299"/>
      <c r="I107" s="299"/>
      <c r="J107" s="299"/>
      <c r="K107" s="299"/>
      <c r="L107" s="299"/>
      <c r="M107" s="299"/>
      <c r="N107" s="299"/>
      <c r="O107" s="463"/>
      <c r="P107" s="463"/>
      <c r="Q107" s="299"/>
      <c r="R107" s="299"/>
      <c r="S107" s="299"/>
      <c r="T107" s="331"/>
      <c r="U107" s="332"/>
    </row>
    <row r="108" spans="1:23" s="1" customFormat="1" ht="23.25" customHeight="1">
      <c r="A108" s="338" t="s">
        <v>40</v>
      </c>
      <c r="B108" s="339" t="s">
        <v>420</v>
      </c>
      <c r="C108" s="635">
        <f>SUM(C109:C126)</f>
        <v>78881.34</v>
      </c>
      <c r="D108" s="636">
        <f aca="true" t="shared" si="6" ref="D108:S108">SUM(D109:D126)</f>
        <v>119361.27570600001</v>
      </c>
      <c r="E108" s="637">
        <f t="shared" si="6"/>
        <v>810.5173</v>
      </c>
      <c r="F108" s="638">
        <f t="shared" si="6"/>
        <v>0</v>
      </c>
      <c r="G108" s="639">
        <f t="shared" si="6"/>
        <v>7099.6001000000015</v>
      </c>
      <c r="H108" s="637">
        <f t="shared" si="6"/>
        <v>2448.7429</v>
      </c>
      <c r="I108" s="638">
        <f t="shared" si="6"/>
        <v>510.18</v>
      </c>
      <c r="J108" s="639">
        <f t="shared" si="6"/>
        <v>3245.3348330000003</v>
      </c>
      <c r="K108" s="638">
        <f t="shared" si="6"/>
        <v>0</v>
      </c>
      <c r="L108" s="639">
        <f t="shared" si="6"/>
        <v>186.37350000000004</v>
      </c>
      <c r="M108" s="638">
        <f t="shared" si="6"/>
        <v>0</v>
      </c>
      <c r="N108" s="639">
        <f t="shared" si="6"/>
        <v>26137.267362</v>
      </c>
      <c r="O108" s="638">
        <f t="shared" si="6"/>
        <v>5485.519000000001</v>
      </c>
      <c r="P108" s="638">
        <f t="shared" si="6"/>
        <v>20651.748362</v>
      </c>
      <c r="Q108" s="639">
        <f t="shared" si="6"/>
        <v>78541.98361099999</v>
      </c>
      <c r="R108" s="639">
        <f t="shared" si="6"/>
        <v>381.2761000000001</v>
      </c>
      <c r="S108" s="635">
        <f t="shared" si="6"/>
        <v>0</v>
      </c>
      <c r="T108" s="640">
        <f aca="true" t="shared" si="7" ref="T108:T126">D108/C108*100</f>
        <v>151.31750513619573</v>
      </c>
      <c r="U108" s="641"/>
      <c r="V108" s="642"/>
      <c r="W108" s="6"/>
    </row>
    <row r="109" spans="1:25" s="7" customFormat="1" ht="23.25" customHeight="1">
      <c r="A109" s="643">
        <v>1</v>
      </c>
      <c r="B109" s="71" t="s">
        <v>270</v>
      </c>
      <c r="C109" s="658">
        <f>'[2]bieu 54'!E110</f>
        <v>5446.26</v>
      </c>
      <c r="D109" s="658">
        <f>SUM(E109:N109)+Q109+R109+S109</f>
        <v>6254.96889</v>
      </c>
      <c r="E109" s="650">
        <v>29.87</v>
      </c>
      <c r="F109" s="650"/>
      <c r="G109" s="650">
        <v>410.2587</v>
      </c>
      <c r="H109" s="650">
        <v>243.3406</v>
      </c>
      <c r="I109" s="650">
        <v>73.24</v>
      </c>
      <c r="J109" s="650">
        <v>17.4805</v>
      </c>
      <c r="K109" s="650"/>
      <c r="L109" s="650">
        <v>10.8</v>
      </c>
      <c r="M109" s="650"/>
      <c r="N109" s="650">
        <f>O109+P109</f>
        <v>192.442345</v>
      </c>
      <c r="O109" s="650"/>
      <c r="P109" s="650">
        <v>192.442345</v>
      </c>
      <c r="Q109" s="650">
        <v>5252.736745</v>
      </c>
      <c r="R109" s="650">
        <v>24.8</v>
      </c>
      <c r="S109" s="645"/>
      <c r="T109" s="644">
        <f t="shared" si="7"/>
        <v>114.84888510647673</v>
      </c>
      <c r="U109" s="646">
        <v>177.4</v>
      </c>
      <c r="V109" s="647"/>
      <c r="W109" s="648"/>
      <c r="Y109" s="649"/>
    </row>
    <row r="110" spans="1:25" s="7" customFormat="1" ht="23.25" customHeight="1">
      <c r="A110" s="643">
        <v>2</v>
      </c>
      <c r="B110" s="71" t="s">
        <v>271</v>
      </c>
      <c r="C110" s="658">
        <f>'[2]bieu 54'!E111</f>
        <v>5150.49</v>
      </c>
      <c r="D110" s="658">
        <f aca="true" t="shared" si="8" ref="D110:D126">SUM(E110:N110)+Q110+R110+S110</f>
        <v>6696.743503</v>
      </c>
      <c r="E110" s="650">
        <v>64.81</v>
      </c>
      <c r="F110" s="650"/>
      <c r="G110" s="650">
        <v>490.3558</v>
      </c>
      <c r="H110" s="650">
        <v>104.4284</v>
      </c>
      <c r="I110" s="650">
        <v>27</v>
      </c>
      <c r="J110" s="650">
        <v>246.0253</v>
      </c>
      <c r="K110" s="650"/>
      <c r="L110" s="650">
        <v>10.8</v>
      </c>
      <c r="M110" s="650"/>
      <c r="N110" s="650">
        <f>O110+P110</f>
        <v>1215.6888</v>
      </c>
      <c r="O110" s="650">
        <v>518.017</v>
      </c>
      <c r="P110" s="650">
        <v>697.6718</v>
      </c>
      <c r="Q110" s="650">
        <v>4511.335203</v>
      </c>
      <c r="R110" s="650">
        <v>26.3</v>
      </c>
      <c r="S110" s="645"/>
      <c r="T110" s="644">
        <f t="shared" si="7"/>
        <v>130.02148345108913</v>
      </c>
      <c r="U110" s="646">
        <v>12.6</v>
      </c>
      <c r="V110" s="647"/>
      <c r="W110" s="648"/>
      <c r="Y110" s="649"/>
    </row>
    <row r="111" spans="1:25" s="7" customFormat="1" ht="23.25" customHeight="1">
      <c r="A111" s="643">
        <v>3</v>
      </c>
      <c r="B111" s="71" t="s">
        <v>9</v>
      </c>
      <c r="C111" s="658">
        <f>'[2]bieu 54'!E112</f>
        <v>5125.6</v>
      </c>
      <c r="D111" s="658">
        <f t="shared" si="8"/>
        <v>6880.687534999999</v>
      </c>
      <c r="E111" s="650">
        <v>9.06</v>
      </c>
      <c r="F111" s="650"/>
      <c r="G111" s="650">
        <v>645.6335</v>
      </c>
      <c r="H111" s="650">
        <v>112.18</v>
      </c>
      <c r="I111" s="650">
        <v>27</v>
      </c>
      <c r="J111" s="650">
        <v>42.294</v>
      </c>
      <c r="K111" s="650"/>
      <c r="L111" s="650">
        <v>10.8</v>
      </c>
      <c r="M111" s="650"/>
      <c r="N111" s="650">
        <f aca="true" t="shared" si="9" ref="N111:N126">O111+P111</f>
        <v>994.431</v>
      </c>
      <c r="O111" s="650">
        <v>519.452</v>
      </c>
      <c r="P111" s="650">
        <v>474.979</v>
      </c>
      <c r="Q111" s="650">
        <v>5014.915035</v>
      </c>
      <c r="R111" s="650">
        <v>24.374</v>
      </c>
      <c r="S111" s="645"/>
      <c r="T111" s="644">
        <f t="shared" si="7"/>
        <v>134.24160166614638</v>
      </c>
      <c r="U111" s="646">
        <v>28.6</v>
      </c>
      <c r="V111" s="647"/>
      <c r="W111" s="648"/>
      <c r="Y111" s="649"/>
    </row>
    <row r="112" spans="1:25" s="7" customFormat="1" ht="23.25" customHeight="1">
      <c r="A112" s="643">
        <v>4</v>
      </c>
      <c r="B112" s="71" t="s">
        <v>272</v>
      </c>
      <c r="C112" s="658">
        <f>'[2]bieu 54'!E113</f>
        <v>6338.48</v>
      </c>
      <c r="D112" s="658">
        <f>SUM(E112:N112)+Q112+R112+S112</f>
        <v>5754.873421</v>
      </c>
      <c r="E112" s="650">
        <v>47.19</v>
      </c>
      <c r="F112" s="650"/>
      <c r="G112" s="650">
        <v>543.0852</v>
      </c>
      <c r="H112" s="650">
        <v>148.86</v>
      </c>
      <c r="I112" s="650">
        <v>30</v>
      </c>
      <c r="J112" s="650">
        <v>468</v>
      </c>
      <c r="K112" s="650"/>
      <c r="L112" s="650">
        <v>10.8</v>
      </c>
      <c r="M112" s="650"/>
      <c r="N112" s="650">
        <f t="shared" si="9"/>
        <v>168.868</v>
      </c>
      <c r="O112" s="650">
        <v>113.868</v>
      </c>
      <c r="P112" s="650">
        <v>55</v>
      </c>
      <c r="Q112" s="650">
        <v>4313.370221</v>
      </c>
      <c r="R112" s="650">
        <v>24.7</v>
      </c>
      <c r="S112" s="645"/>
      <c r="T112" s="644">
        <f t="shared" si="7"/>
        <v>90.79264146924815</v>
      </c>
      <c r="U112" s="646">
        <v>68.6</v>
      </c>
      <c r="V112" s="647"/>
      <c r="W112" s="648"/>
      <c r="Y112" s="649"/>
    </row>
    <row r="113" spans="1:25" s="7" customFormat="1" ht="23.25" customHeight="1">
      <c r="A113" s="643">
        <v>5</v>
      </c>
      <c r="B113" s="71" t="s">
        <v>273</v>
      </c>
      <c r="C113" s="658">
        <f>'[2]bieu 54'!E114</f>
        <v>4606.64</v>
      </c>
      <c r="D113" s="658">
        <f t="shared" si="8"/>
        <v>11711.188124</v>
      </c>
      <c r="E113" s="650">
        <v>38.37</v>
      </c>
      <c r="F113" s="650"/>
      <c r="G113" s="650">
        <v>673.6683</v>
      </c>
      <c r="H113" s="650">
        <v>193.464</v>
      </c>
      <c r="I113" s="650">
        <v>45</v>
      </c>
      <c r="J113" s="650">
        <v>442.7755</v>
      </c>
      <c r="K113" s="650"/>
      <c r="L113" s="650">
        <v>10.8</v>
      </c>
      <c r="M113" s="650"/>
      <c r="N113" s="650">
        <f t="shared" si="9"/>
        <v>4633.8060000000005</v>
      </c>
      <c r="O113" s="650">
        <v>77.56</v>
      </c>
      <c r="P113" s="650">
        <f>140.67+1747.496+2668.08</f>
        <v>4556.246</v>
      </c>
      <c r="Q113" s="650">
        <v>5650.104324</v>
      </c>
      <c r="R113" s="650">
        <v>23.2</v>
      </c>
      <c r="S113" s="645"/>
      <c r="T113" s="644">
        <f t="shared" si="7"/>
        <v>254.22407924213744</v>
      </c>
      <c r="U113" s="646">
        <v>453.9</v>
      </c>
      <c r="V113" s="647"/>
      <c r="W113" s="648"/>
      <c r="Y113" s="649"/>
    </row>
    <row r="114" spans="1:25" s="7" customFormat="1" ht="23.25" customHeight="1">
      <c r="A114" s="643">
        <v>6</v>
      </c>
      <c r="B114" s="71" t="s">
        <v>274</v>
      </c>
      <c r="C114" s="658">
        <f>'[2]bieu 54'!E115</f>
        <v>3630.93</v>
      </c>
      <c r="D114" s="658">
        <f t="shared" si="8"/>
        <v>5381.113815</v>
      </c>
      <c r="E114" s="650">
        <v>82.305</v>
      </c>
      <c r="F114" s="650"/>
      <c r="G114" s="650">
        <v>351.8258</v>
      </c>
      <c r="H114" s="650">
        <v>123.08</v>
      </c>
      <c r="I114" s="650">
        <v>27</v>
      </c>
      <c r="J114" s="650">
        <v>15.766</v>
      </c>
      <c r="K114" s="650"/>
      <c r="L114" s="650">
        <v>10.15</v>
      </c>
      <c r="M114" s="650"/>
      <c r="N114" s="650">
        <f t="shared" si="9"/>
        <v>513.476</v>
      </c>
      <c r="O114" s="650">
        <v>99.33</v>
      </c>
      <c r="P114" s="650">
        <v>414.146</v>
      </c>
      <c r="Q114" s="650">
        <v>4233.211015</v>
      </c>
      <c r="R114" s="650">
        <v>24.3</v>
      </c>
      <c r="S114" s="645"/>
      <c r="T114" s="644">
        <f t="shared" si="7"/>
        <v>148.20208087184275</v>
      </c>
      <c r="U114" s="646">
        <v>4.3</v>
      </c>
      <c r="V114" s="647"/>
      <c r="W114" s="648"/>
      <c r="Y114" s="649"/>
    </row>
    <row r="115" spans="1:25" s="7" customFormat="1" ht="23.25" customHeight="1">
      <c r="A115" s="643">
        <v>7</v>
      </c>
      <c r="B115" s="71" t="s">
        <v>275</v>
      </c>
      <c r="C115" s="658">
        <f>'[2]bieu 54'!E116</f>
        <v>3838.93</v>
      </c>
      <c r="D115" s="658">
        <f t="shared" si="8"/>
        <v>4179.564496000001</v>
      </c>
      <c r="E115" s="650">
        <v>62.06</v>
      </c>
      <c r="F115" s="650"/>
      <c r="G115" s="650">
        <v>378.019</v>
      </c>
      <c r="H115" s="650">
        <v>82.786</v>
      </c>
      <c r="I115" s="650">
        <v>18</v>
      </c>
      <c r="J115" s="650">
        <v>15.9513</v>
      </c>
      <c r="K115" s="650"/>
      <c r="L115" s="650">
        <v>10.2295</v>
      </c>
      <c r="M115" s="650"/>
      <c r="N115" s="650">
        <f t="shared" si="9"/>
        <v>196.08844</v>
      </c>
      <c r="O115" s="650">
        <v>44.625</v>
      </c>
      <c r="P115" s="650">
        <v>151.46344</v>
      </c>
      <c r="Q115" s="650">
        <v>3407.830256</v>
      </c>
      <c r="R115" s="650">
        <v>8.6</v>
      </c>
      <c r="S115" s="645"/>
      <c r="T115" s="644">
        <f t="shared" si="7"/>
        <v>108.87316246975072</v>
      </c>
      <c r="U115" s="646">
        <v>16</v>
      </c>
      <c r="V115" s="647"/>
      <c r="W115" s="648"/>
      <c r="Y115" s="649"/>
    </row>
    <row r="116" spans="1:25" s="7" customFormat="1" ht="23.25" customHeight="1">
      <c r="A116" s="643">
        <v>8</v>
      </c>
      <c r="B116" s="71" t="s">
        <v>276</v>
      </c>
      <c r="C116" s="658">
        <f>'[2]bieu 54'!E117</f>
        <v>4246.31</v>
      </c>
      <c r="D116" s="658">
        <f t="shared" si="8"/>
        <v>5030.596019999999</v>
      </c>
      <c r="E116" s="650">
        <v>37.88</v>
      </c>
      <c r="F116" s="650"/>
      <c r="G116" s="650">
        <v>280.4448</v>
      </c>
      <c r="H116" s="650">
        <v>145.42</v>
      </c>
      <c r="I116" s="650">
        <v>18</v>
      </c>
      <c r="J116" s="650">
        <v>288</v>
      </c>
      <c r="K116" s="650"/>
      <c r="L116" s="650">
        <v>10.8</v>
      </c>
      <c r="M116" s="650"/>
      <c r="N116" s="650">
        <f t="shared" si="9"/>
        <v>401.68489999999997</v>
      </c>
      <c r="O116" s="650">
        <v>67.9</v>
      </c>
      <c r="P116" s="650">
        <v>333.7849</v>
      </c>
      <c r="Q116" s="650">
        <v>3836.96632</v>
      </c>
      <c r="R116" s="650">
        <v>11.4</v>
      </c>
      <c r="S116" s="645"/>
      <c r="T116" s="644">
        <f t="shared" si="7"/>
        <v>118.46982485970167</v>
      </c>
      <c r="U116" s="646">
        <v>78.4</v>
      </c>
      <c r="V116" s="647"/>
      <c r="W116" s="648"/>
      <c r="Y116" s="649"/>
    </row>
    <row r="117" spans="1:25" s="7" customFormat="1" ht="23.25" customHeight="1">
      <c r="A117" s="643">
        <v>9</v>
      </c>
      <c r="B117" s="71" t="s">
        <v>277</v>
      </c>
      <c r="C117" s="658">
        <f>'[2]bieu 54'!E118</f>
        <v>4381.59</v>
      </c>
      <c r="D117" s="658">
        <f t="shared" si="8"/>
        <v>6833.323139</v>
      </c>
      <c r="E117" s="650">
        <v>55.651</v>
      </c>
      <c r="F117" s="650"/>
      <c r="G117" s="650">
        <v>319.9922</v>
      </c>
      <c r="H117" s="650">
        <v>112.2</v>
      </c>
      <c r="I117" s="650">
        <v>12</v>
      </c>
      <c r="J117" s="650">
        <v>18</v>
      </c>
      <c r="K117" s="650"/>
      <c r="L117" s="650">
        <v>10.8</v>
      </c>
      <c r="M117" s="650"/>
      <c r="N117" s="650">
        <f t="shared" si="9"/>
        <v>2058.62</v>
      </c>
      <c r="O117" s="650">
        <v>395.159</v>
      </c>
      <c r="P117" s="650">
        <v>1663.461</v>
      </c>
      <c r="Q117" s="650">
        <v>4237.459939</v>
      </c>
      <c r="R117" s="650">
        <v>8.6</v>
      </c>
      <c r="S117" s="645"/>
      <c r="T117" s="644">
        <f t="shared" si="7"/>
        <v>155.9553298916603</v>
      </c>
      <c r="U117" s="646">
        <v>9.2</v>
      </c>
      <c r="V117" s="647"/>
      <c r="W117" s="648"/>
      <c r="Y117" s="649"/>
    </row>
    <row r="118" spans="1:25" s="7" customFormat="1" ht="23.25" customHeight="1">
      <c r="A118" s="643">
        <v>10</v>
      </c>
      <c r="B118" s="71" t="s">
        <v>278</v>
      </c>
      <c r="C118" s="658">
        <f>'[2]bieu 54'!E119</f>
        <v>3851.55</v>
      </c>
      <c r="D118" s="658">
        <f t="shared" si="8"/>
        <v>7486.8378410000005</v>
      </c>
      <c r="E118" s="650">
        <v>38.838</v>
      </c>
      <c r="F118" s="650"/>
      <c r="G118" s="650">
        <v>428.2967</v>
      </c>
      <c r="H118" s="650">
        <v>184.45</v>
      </c>
      <c r="I118" s="650">
        <v>24</v>
      </c>
      <c r="J118" s="650">
        <v>133.36</v>
      </c>
      <c r="K118" s="650"/>
      <c r="L118" s="650">
        <v>9.43</v>
      </c>
      <c r="M118" s="650"/>
      <c r="N118" s="650">
        <f t="shared" si="9"/>
        <v>2694.2250000000004</v>
      </c>
      <c r="O118" s="650">
        <v>1582.247</v>
      </c>
      <c r="P118" s="650">
        <v>1111.978</v>
      </c>
      <c r="Q118" s="650">
        <v>3931.755041</v>
      </c>
      <c r="R118" s="650">
        <v>42.4831</v>
      </c>
      <c r="S118" s="645"/>
      <c r="T118" s="644">
        <f t="shared" si="7"/>
        <v>194.38506162454075</v>
      </c>
      <c r="U118" s="646">
        <v>98.8</v>
      </c>
      <c r="V118" s="647"/>
      <c r="W118" s="648"/>
      <c r="Y118" s="649"/>
    </row>
    <row r="119" spans="1:25" s="7" customFormat="1" ht="23.25" customHeight="1">
      <c r="A119" s="643">
        <v>11</v>
      </c>
      <c r="B119" s="71" t="s">
        <v>279</v>
      </c>
      <c r="C119" s="658">
        <f>'[2]bieu 54'!E120</f>
        <v>4295.81</v>
      </c>
      <c r="D119" s="658">
        <f t="shared" si="8"/>
        <v>4703.882192</v>
      </c>
      <c r="E119" s="650">
        <v>21.8335</v>
      </c>
      <c r="F119" s="650"/>
      <c r="G119" s="650">
        <v>319.4354</v>
      </c>
      <c r="H119" s="650">
        <v>154.273</v>
      </c>
      <c r="I119" s="650">
        <v>18</v>
      </c>
      <c r="J119" s="650">
        <v>177.9654</v>
      </c>
      <c r="K119" s="650"/>
      <c r="L119" s="650">
        <v>10.8</v>
      </c>
      <c r="M119" s="650"/>
      <c r="N119" s="650">
        <f t="shared" si="9"/>
        <v>441.0405</v>
      </c>
      <c r="O119" s="650">
        <v>29.54</v>
      </c>
      <c r="P119" s="650">
        <v>411.5005</v>
      </c>
      <c r="Q119" s="650">
        <v>3547.734392</v>
      </c>
      <c r="R119" s="650">
        <v>12.8</v>
      </c>
      <c r="S119" s="645"/>
      <c r="T119" s="644">
        <f t="shared" si="7"/>
        <v>109.49930727848762</v>
      </c>
      <c r="U119" s="646">
        <v>36.8</v>
      </c>
      <c r="V119" s="647"/>
      <c r="W119" s="648"/>
      <c r="Y119" s="649"/>
    </row>
    <row r="120" spans="1:25" s="7" customFormat="1" ht="23.25" customHeight="1">
      <c r="A120" s="643">
        <v>12</v>
      </c>
      <c r="B120" s="71" t="s">
        <v>280</v>
      </c>
      <c r="C120" s="658">
        <f>'[2]bieu 54'!E121</f>
        <v>5497.62</v>
      </c>
      <c r="D120" s="658">
        <f>SUM(E120:N120)+Q120+R120+S120</f>
        <v>6871.393424999999</v>
      </c>
      <c r="E120" s="650">
        <v>43.8088</v>
      </c>
      <c r="F120" s="650"/>
      <c r="G120" s="650">
        <v>257.1799</v>
      </c>
      <c r="H120" s="650">
        <v>43.2</v>
      </c>
      <c r="I120" s="650">
        <v>12</v>
      </c>
      <c r="J120" s="650">
        <v>187.791</v>
      </c>
      <c r="K120" s="650"/>
      <c r="L120" s="650">
        <v>10.8</v>
      </c>
      <c r="M120" s="650"/>
      <c r="N120" s="650">
        <f t="shared" si="9"/>
        <v>1998.261627</v>
      </c>
      <c r="O120" s="650">
        <v>551.259</v>
      </c>
      <c r="P120" s="650">
        <v>1447.002627</v>
      </c>
      <c r="Q120" s="650">
        <v>4310.952098</v>
      </c>
      <c r="R120" s="650">
        <v>7.4</v>
      </c>
      <c r="S120" s="645"/>
      <c r="T120" s="644">
        <f t="shared" si="7"/>
        <v>124.98851184694466</v>
      </c>
      <c r="U120" s="646">
        <v>23.7</v>
      </c>
      <c r="V120" s="647"/>
      <c r="W120" s="648"/>
      <c r="Y120" s="649"/>
    </row>
    <row r="121" spans="1:25" s="7" customFormat="1" ht="23.25" customHeight="1">
      <c r="A121" s="651">
        <v>13</v>
      </c>
      <c r="B121" s="652" t="s">
        <v>281</v>
      </c>
      <c r="C121" s="658">
        <f>'[2]bieu 54'!E122</f>
        <v>4323.31</v>
      </c>
      <c r="D121" s="658">
        <f t="shared" si="8"/>
        <v>9986.145631</v>
      </c>
      <c r="E121" s="650">
        <v>59.89</v>
      </c>
      <c r="F121" s="650"/>
      <c r="G121" s="650">
        <v>388.0792</v>
      </c>
      <c r="H121" s="650">
        <v>129.6</v>
      </c>
      <c r="I121" s="650">
        <v>36</v>
      </c>
      <c r="J121" s="650">
        <v>378</v>
      </c>
      <c r="K121" s="650"/>
      <c r="L121" s="650">
        <v>10.8</v>
      </c>
      <c r="M121" s="650"/>
      <c r="N121" s="650">
        <f t="shared" si="9"/>
        <v>3775.5373</v>
      </c>
      <c r="O121" s="650">
        <v>604.388</v>
      </c>
      <c r="P121" s="650">
        <v>3171.1493</v>
      </c>
      <c r="Q121" s="650">
        <v>5171.439131</v>
      </c>
      <c r="R121" s="650">
        <v>36.8</v>
      </c>
      <c r="S121" s="645"/>
      <c r="T121" s="644">
        <f t="shared" si="7"/>
        <v>230.98379785395912</v>
      </c>
      <c r="U121" s="646">
        <v>88.1</v>
      </c>
      <c r="V121" s="647"/>
      <c r="W121" s="648"/>
      <c r="Y121" s="649"/>
    </row>
    <row r="122" spans="1:25" s="7" customFormat="1" ht="23.25" customHeight="1">
      <c r="A122" s="651">
        <v>14</v>
      </c>
      <c r="B122" s="652" t="s">
        <v>282</v>
      </c>
      <c r="C122" s="658">
        <f>'[2]bieu 54'!E123</f>
        <v>4465.78</v>
      </c>
      <c r="D122" s="658">
        <f t="shared" si="8"/>
        <v>5262.6011579999995</v>
      </c>
      <c r="E122" s="650">
        <v>39.44</v>
      </c>
      <c r="F122" s="650"/>
      <c r="G122" s="650">
        <v>309.7844</v>
      </c>
      <c r="H122" s="650">
        <v>115.885</v>
      </c>
      <c r="I122" s="650">
        <v>24</v>
      </c>
      <c r="J122" s="650">
        <v>567.999333</v>
      </c>
      <c r="K122" s="650"/>
      <c r="L122" s="650">
        <v>9.6</v>
      </c>
      <c r="M122" s="650"/>
      <c r="N122" s="650">
        <f t="shared" si="9"/>
        <v>34.629</v>
      </c>
      <c r="O122" s="650">
        <v>27.3</v>
      </c>
      <c r="P122" s="650">
        <v>7.329</v>
      </c>
      <c r="Q122" s="650">
        <v>4141.780425</v>
      </c>
      <c r="R122" s="650">
        <v>19.483</v>
      </c>
      <c r="S122" s="645"/>
      <c r="T122" s="644">
        <f t="shared" si="7"/>
        <v>117.8428215899574</v>
      </c>
      <c r="U122" s="646">
        <v>77.3</v>
      </c>
      <c r="V122" s="647"/>
      <c r="W122" s="648"/>
      <c r="Y122" s="649"/>
    </row>
    <row r="123" spans="1:25" s="7" customFormat="1" ht="23.25" customHeight="1">
      <c r="A123" s="651">
        <v>15</v>
      </c>
      <c r="B123" s="652" t="s">
        <v>283</v>
      </c>
      <c r="C123" s="658">
        <f>'[2]bieu 54'!E124</f>
        <v>4478.9</v>
      </c>
      <c r="D123" s="658">
        <f>SUM(E123:N123)+Q123+R123+S123</f>
        <v>5099.731457000001</v>
      </c>
      <c r="E123" s="650">
        <v>25.62</v>
      </c>
      <c r="F123" s="650"/>
      <c r="G123" s="650">
        <v>368.5642</v>
      </c>
      <c r="H123" s="650">
        <v>127.0269</v>
      </c>
      <c r="I123" s="650">
        <v>27</v>
      </c>
      <c r="J123" s="650">
        <v>17.9965</v>
      </c>
      <c r="K123" s="650"/>
      <c r="L123" s="650">
        <v>6.564</v>
      </c>
      <c r="M123" s="650"/>
      <c r="N123" s="650">
        <f t="shared" si="9"/>
        <v>291.9857</v>
      </c>
      <c r="O123" s="650">
        <v>92.05</v>
      </c>
      <c r="P123" s="650">
        <v>199.9357</v>
      </c>
      <c r="Q123" s="650">
        <v>4198.638157</v>
      </c>
      <c r="R123" s="650">
        <v>36.336</v>
      </c>
      <c r="S123" s="645"/>
      <c r="T123" s="644">
        <f t="shared" si="7"/>
        <v>113.86124845386148</v>
      </c>
      <c r="U123" s="646">
        <v>9.7</v>
      </c>
      <c r="V123" s="647"/>
      <c r="W123" s="648"/>
      <c r="Y123" s="649"/>
    </row>
    <row r="124" spans="1:25" s="7" customFormat="1" ht="23.25" customHeight="1">
      <c r="A124" s="651">
        <v>16</v>
      </c>
      <c r="B124" s="652" t="s">
        <v>284</v>
      </c>
      <c r="C124" s="658">
        <f>'[2]bieu 54'!E125</f>
        <v>5110.71</v>
      </c>
      <c r="D124" s="658">
        <f t="shared" si="8"/>
        <v>7354.78996</v>
      </c>
      <c r="E124" s="650">
        <v>65.41</v>
      </c>
      <c r="F124" s="650"/>
      <c r="G124" s="650">
        <v>274.7204</v>
      </c>
      <c r="H124" s="650">
        <v>48.6</v>
      </c>
      <c r="I124" s="650">
        <v>15</v>
      </c>
      <c r="J124" s="650">
        <v>11.93</v>
      </c>
      <c r="K124" s="650"/>
      <c r="L124" s="650">
        <v>10.8</v>
      </c>
      <c r="M124" s="650"/>
      <c r="N124" s="650">
        <f t="shared" si="9"/>
        <v>2551.1114500000003</v>
      </c>
      <c r="O124" s="650">
        <v>540.729</v>
      </c>
      <c r="P124" s="650">
        <v>2010.38245</v>
      </c>
      <c r="Q124" s="650">
        <v>4369.41811</v>
      </c>
      <c r="R124" s="650">
        <v>7.8</v>
      </c>
      <c r="S124" s="645"/>
      <c r="T124" s="644">
        <f t="shared" si="7"/>
        <v>143.90935819093627</v>
      </c>
      <c r="U124" s="646">
        <v>102.5</v>
      </c>
      <c r="V124" s="647"/>
      <c r="W124" s="648"/>
      <c r="Y124" s="649"/>
    </row>
    <row r="125" spans="1:25" s="7" customFormat="1" ht="23.25" customHeight="1">
      <c r="A125" s="651">
        <v>17</v>
      </c>
      <c r="B125" s="652" t="s">
        <v>285</v>
      </c>
      <c r="C125" s="658">
        <f>'[2]bieu 54'!E126</f>
        <v>4092.43</v>
      </c>
      <c r="D125" s="658">
        <f t="shared" si="8"/>
        <v>8779.313542</v>
      </c>
      <c r="E125" s="650">
        <v>42.32</v>
      </c>
      <c r="F125" s="650"/>
      <c r="G125" s="650">
        <v>359.2143</v>
      </c>
      <c r="H125" s="650">
        <v>132.909</v>
      </c>
      <c r="I125" s="650">
        <v>40</v>
      </c>
      <c r="J125" s="650">
        <v>198</v>
      </c>
      <c r="K125" s="650"/>
      <c r="L125" s="650">
        <v>10.8</v>
      </c>
      <c r="M125" s="650"/>
      <c r="N125" s="650">
        <f t="shared" si="9"/>
        <v>3317.2484</v>
      </c>
      <c r="O125" s="650">
        <v>66.29</v>
      </c>
      <c r="P125" s="650">
        <v>3250.9584</v>
      </c>
      <c r="Q125" s="650">
        <v>4649.021842</v>
      </c>
      <c r="R125" s="650">
        <v>29.8</v>
      </c>
      <c r="S125" s="645"/>
      <c r="T125" s="644">
        <f t="shared" si="7"/>
        <v>214.5256862548657</v>
      </c>
      <c r="U125" s="646">
        <v>137.5</v>
      </c>
      <c r="V125" s="647"/>
      <c r="W125" s="648"/>
      <c r="Y125" s="649"/>
    </row>
    <row r="126" spans="1:25" s="7" customFormat="1" ht="23.25" customHeight="1">
      <c r="A126" s="651">
        <v>18</v>
      </c>
      <c r="B126" s="652" t="s">
        <v>286</v>
      </c>
      <c r="C126" s="658">
        <f>'[2]bieu 54'!E127</f>
        <v>0</v>
      </c>
      <c r="D126" s="658">
        <f t="shared" si="8"/>
        <v>5093.521557</v>
      </c>
      <c r="E126" s="650">
        <v>46.161</v>
      </c>
      <c r="F126" s="650"/>
      <c r="G126" s="650">
        <v>301.0423</v>
      </c>
      <c r="H126" s="650">
        <v>247.04</v>
      </c>
      <c r="I126" s="650">
        <v>36.94</v>
      </c>
      <c r="J126" s="650">
        <v>18</v>
      </c>
      <c r="K126" s="650"/>
      <c r="L126" s="650">
        <v>10.8</v>
      </c>
      <c r="M126" s="650"/>
      <c r="N126" s="650">
        <f t="shared" si="9"/>
        <v>658.1229000000001</v>
      </c>
      <c r="O126" s="650">
        <v>155.805</v>
      </c>
      <c r="P126" s="650">
        <f>259.599+242.7189</f>
        <v>502.3179</v>
      </c>
      <c r="Q126" s="650">
        <v>3763.315357</v>
      </c>
      <c r="R126" s="650">
        <v>12.1</v>
      </c>
      <c r="S126" s="645"/>
      <c r="T126" s="644" t="e">
        <f t="shared" si="7"/>
        <v>#DIV/0!</v>
      </c>
      <c r="U126" s="646">
        <v>44.6</v>
      </c>
      <c r="V126" s="647"/>
      <c r="W126" s="648"/>
      <c r="Y126" s="649"/>
    </row>
    <row r="127" spans="1:22" s="1" customFormat="1" ht="11.25" customHeight="1">
      <c r="A127" s="340"/>
      <c r="B127" s="341"/>
      <c r="C127" s="653"/>
      <c r="D127" s="653"/>
      <c r="E127" s="654"/>
      <c r="F127" s="654"/>
      <c r="G127" s="654"/>
      <c r="H127" s="654"/>
      <c r="I127" s="654"/>
      <c r="J127" s="654"/>
      <c r="K127" s="654"/>
      <c r="L127" s="654"/>
      <c r="M127" s="654"/>
      <c r="N127" s="654"/>
      <c r="O127" s="654"/>
      <c r="P127" s="654"/>
      <c r="Q127" s="654"/>
      <c r="R127" s="654"/>
      <c r="S127" s="655"/>
      <c r="T127" s="653"/>
      <c r="U127" s="656"/>
      <c r="V127" s="657"/>
    </row>
    <row r="128" s="2" customFormat="1" ht="15">
      <c r="U128" s="303"/>
    </row>
    <row r="129" spans="4:21" s="2" customFormat="1" ht="15">
      <c r="D129" s="342"/>
      <c r="E129" s="131"/>
      <c r="U129" s="303"/>
    </row>
    <row r="130" spans="4:21" s="2" customFormat="1" ht="15">
      <c r="D130" s="131"/>
      <c r="U130" s="303"/>
    </row>
    <row r="131" s="2" customFormat="1" ht="15">
      <c r="U131" s="303"/>
    </row>
    <row r="132" s="2" customFormat="1" ht="15">
      <c r="U132" s="303"/>
    </row>
    <row r="133" s="2" customFormat="1" ht="15">
      <c r="U133" s="303"/>
    </row>
    <row r="134" s="2" customFormat="1" ht="15">
      <c r="U134" s="303"/>
    </row>
    <row r="135" s="2" customFormat="1" ht="15">
      <c r="U135" s="303"/>
    </row>
    <row r="136" s="2" customFormat="1" ht="15">
      <c r="U136" s="303"/>
    </row>
    <row r="137" s="2" customFormat="1" ht="15">
      <c r="U137" s="303"/>
    </row>
    <row r="138" s="2" customFormat="1" ht="15">
      <c r="U138" s="303"/>
    </row>
    <row r="139" s="2" customFormat="1" ht="15">
      <c r="U139" s="303"/>
    </row>
    <row r="140" s="2" customFormat="1" ht="15">
      <c r="U140" s="303"/>
    </row>
    <row r="141" s="2" customFormat="1" ht="15">
      <c r="U141" s="303"/>
    </row>
    <row r="142" spans="1:20" ht="18">
      <c r="A142" s="31"/>
      <c r="B142" s="31"/>
      <c r="C142" s="31"/>
      <c r="D142" s="31"/>
      <c r="E142" s="31"/>
      <c r="F142" s="31"/>
      <c r="G142" s="31"/>
      <c r="H142" s="31"/>
      <c r="I142" s="31"/>
      <c r="J142" s="31"/>
      <c r="K142" s="31"/>
      <c r="L142" s="31"/>
      <c r="M142" s="31"/>
      <c r="N142" s="31"/>
      <c r="O142" s="31"/>
      <c r="P142" s="31"/>
      <c r="Q142" s="31"/>
      <c r="R142" s="31"/>
      <c r="S142" s="31"/>
      <c r="T142" s="31"/>
    </row>
  </sheetData>
  <sheetProtection/>
  <mergeCells count="23">
    <mergeCell ref="O6:P6"/>
    <mergeCell ref="S6:S7"/>
    <mergeCell ref="Q6:Q7"/>
    <mergeCell ref="N6:N7"/>
    <mergeCell ref="C6:C7"/>
    <mergeCell ref="B6:B7"/>
    <mergeCell ref="A6:A7"/>
    <mergeCell ref="E6:E7"/>
    <mergeCell ref="L6:L7"/>
    <mergeCell ref="D6:D7"/>
    <mergeCell ref="I6:I7"/>
    <mergeCell ref="G6:G7"/>
    <mergeCell ref="F6:F7"/>
    <mergeCell ref="Q1:T1"/>
    <mergeCell ref="Q2:T2"/>
    <mergeCell ref="K6:K7"/>
    <mergeCell ref="J6:J7"/>
    <mergeCell ref="R6:R7"/>
    <mergeCell ref="T6:T7"/>
    <mergeCell ref="A3:T3"/>
    <mergeCell ref="A4:T4"/>
    <mergeCell ref="M6:M7"/>
    <mergeCell ref="H6:H7"/>
  </mergeCells>
  <printOptions horizontalCentered="1"/>
  <pageMargins left="0" right="0" top="0.984251968503937" bottom="0.7874015748031497" header="0.2362204724409449" footer="0.2362204724409449"/>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Admin</cp:lastModifiedBy>
  <cp:lastPrinted>2024-05-30T03:44:44Z</cp:lastPrinted>
  <dcterms:created xsi:type="dcterms:W3CDTF">2018-05-16T01:28:59Z</dcterms:created>
  <dcterms:modified xsi:type="dcterms:W3CDTF">2024-07-10T04:52:33Z</dcterms:modified>
  <cp:category/>
  <cp:version/>
  <cp:contentType/>
  <cp:contentStatus/>
</cp:coreProperties>
</file>